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35"/>
  </bookViews>
  <sheets>
    <sheet name="Educação - Comparável" sheetId="3" r:id="rId1"/>
    <sheet name="Educação - TCMSP" sheetId="1" r:id="rId2"/>
    <sheet name="Saúde" sheetId="2" r:id="rId3"/>
  </sheets>
  <calcPr calcId="145621"/>
</workbook>
</file>

<file path=xl/calcChain.xml><?xml version="1.0" encoding="utf-8"?>
<calcChain xmlns="http://schemas.openxmlformats.org/spreadsheetml/2006/main">
  <c r="B12" i="2" l="1"/>
  <c r="D27" i="2"/>
  <c r="B11" i="2" s="1"/>
  <c r="D28" i="2"/>
  <c r="D26" i="2"/>
  <c r="H58" i="3"/>
  <c r="G58" i="3"/>
  <c r="I58" i="3"/>
  <c r="I57" i="3"/>
  <c r="G57" i="3"/>
  <c r="F57" i="3"/>
  <c r="G15" i="3"/>
  <c r="N57" i="3"/>
  <c r="N58" i="3"/>
  <c r="M57" i="3"/>
  <c r="M58" i="3"/>
  <c r="M56" i="3"/>
  <c r="L57" i="3"/>
  <c r="L58" i="3"/>
  <c r="L56" i="3"/>
  <c r="J58" i="3"/>
  <c r="J57" i="3"/>
  <c r="J56" i="3"/>
  <c r="F58" i="3"/>
  <c r="D16" i="3" l="1"/>
  <c r="C16" i="3"/>
  <c r="B16" i="3"/>
  <c r="C15" i="3" l="1"/>
  <c r="C14" i="3"/>
  <c r="Q14" i="3" s="1"/>
  <c r="C13" i="3"/>
  <c r="G13" i="3" s="1"/>
  <c r="G12" i="3"/>
  <c r="D14" i="3"/>
  <c r="D13" i="3"/>
  <c r="E58" i="3"/>
  <c r="E57" i="3"/>
  <c r="N56" i="3"/>
  <c r="E56" i="3"/>
  <c r="T17" i="3"/>
  <c r="T16" i="3"/>
  <c r="Q16" i="3"/>
  <c r="T15" i="3"/>
  <c r="F15" i="3"/>
  <c r="N15" i="3" s="1"/>
  <c r="T14" i="3"/>
  <c r="N14" i="3"/>
  <c r="I14" i="3"/>
  <c r="T13" i="3"/>
  <c r="Q13" i="3"/>
  <c r="N13" i="3"/>
  <c r="I13" i="3"/>
  <c r="T12" i="3"/>
  <c r="H12" i="3" s="1"/>
  <c r="Q12" i="3"/>
  <c r="N12" i="3"/>
  <c r="I12" i="3"/>
  <c r="E12" i="3"/>
  <c r="M12" i="3" s="1"/>
  <c r="T11" i="3"/>
  <c r="H11" i="3" s="1"/>
  <c r="R11" i="3"/>
  <c r="Q11" i="3"/>
  <c r="N11" i="3"/>
  <c r="I11" i="3"/>
  <c r="G11" i="3"/>
  <c r="E11" i="3"/>
  <c r="M11" i="3" s="1"/>
  <c r="T10" i="3"/>
  <c r="H10" i="3" s="1"/>
  <c r="R10" i="3"/>
  <c r="Q10" i="3"/>
  <c r="N10" i="3"/>
  <c r="I10" i="3"/>
  <c r="G10" i="3"/>
  <c r="E10" i="3"/>
  <c r="M10" i="3" s="1"/>
  <c r="T9" i="3"/>
  <c r="H9" i="3" s="1"/>
  <c r="Q9" i="3"/>
  <c r="N9" i="3"/>
  <c r="M9" i="3"/>
  <c r="I9" i="3"/>
  <c r="G9" i="3"/>
  <c r="E9" i="3"/>
  <c r="R9" i="3" s="1"/>
  <c r="A9" i="3"/>
  <c r="A10" i="3" s="1"/>
  <c r="A11" i="3" s="1"/>
  <c r="A12" i="3" s="1"/>
  <c r="A13" i="3" s="1"/>
  <c r="A14" i="3" s="1"/>
  <c r="T8" i="3"/>
  <c r="H8" i="3" s="1"/>
  <c r="R8" i="3"/>
  <c r="Q8" i="3"/>
  <c r="N8" i="3"/>
  <c r="I8" i="3"/>
  <c r="G8" i="3"/>
  <c r="E8" i="3"/>
  <c r="M8" i="3" s="1"/>
  <c r="T7" i="3"/>
  <c r="H7" i="3" s="1"/>
  <c r="R7" i="3"/>
  <c r="Q7" i="3"/>
  <c r="N7" i="3"/>
  <c r="I7" i="3"/>
  <c r="G7" i="3"/>
  <c r="E7" i="3"/>
  <c r="M7" i="3" s="1"/>
  <c r="T6" i="3"/>
  <c r="H6" i="3" s="1"/>
  <c r="Q6" i="3"/>
  <c r="N6" i="3"/>
  <c r="I6" i="3"/>
  <c r="G6" i="3"/>
  <c r="E6" i="3"/>
  <c r="M6" i="3" s="1"/>
  <c r="T5" i="3"/>
  <c r="R5" i="3"/>
  <c r="N5" i="3"/>
  <c r="M5" i="3"/>
  <c r="J5" i="3"/>
  <c r="T4" i="3"/>
  <c r="R4" i="3"/>
  <c r="N4" i="3"/>
  <c r="M4" i="3"/>
  <c r="J4" i="3"/>
  <c r="T3" i="3"/>
  <c r="R3" i="3"/>
  <c r="N3" i="3"/>
  <c r="M3" i="3"/>
  <c r="J3" i="3"/>
  <c r="T2" i="3"/>
  <c r="R2" i="3"/>
  <c r="N2" i="3"/>
  <c r="M2" i="3"/>
  <c r="J2" i="3"/>
  <c r="C15" i="1"/>
  <c r="Q15" i="1"/>
  <c r="G13" i="1"/>
  <c r="F15" i="1"/>
  <c r="I15" i="1" s="1"/>
  <c r="N15" i="1" l="1"/>
  <c r="G15" i="1"/>
  <c r="D15" i="1"/>
  <c r="E15" i="1" s="1"/>
  <c r="M15" i="1" s="1"/>
  <c r="I15" i="3"/>
  <c r="D15" i="3"/>
  <c r="H15" i="3" s="1"/>
  <c r="H13" i="3"/>
  <c r="R6" i="3"/>
  <c r="R12" i="3"/>
  <c r="H14" i="3"/>
  <c r="E14" i="3"/>
  <c r="R14" i="3" s="1"/>
  <c r="E13" i="3"/>
  <c r="R13" i="3" s="1"/>
  <c r="G14" i="3"/>
  <c r="M13" i="3"/>
  <c r="E15" i="3"/>
  <c r="E16" i="3" s="1"/>
  <c r="M15" i="3"/>
  <c r="Q15" i="3"/>
  <c r="J15" i="1" l="1"/>
  <c r="M14" i="3"/>
  <c r="R15" i="3"/>
  <c r="R16" i="3"/>
  <c r="J16" i="3"/>
  <c r="O16" i="3" s="1"/>
  <c r="J5" i="1"/>
  <c r="O15" i="1" l="1"/>
  <c r="N3" i="1"/>
  <c r="N4" i="1"/>
  <c r="N5" i="1"/>
  <c r="N6" i="1"/>
  <c r="N7" i="1"/>
  <c r="N8" i="1"/>
  <c r="N9" i="1"/>
  <c r="N10" i="1"/>
  <c r="N11" i="1"/>
  <c r="N12" i="1"/>
  <c r="N13" i="1"/>
  <c r="N14" i="1"/>
  <c r="N2" i="1"/>
  <c r="E6" i="1"/>
  <c r="M6" i="1" s="1"/>
  <c r="E7" i="1"/>
  <c r="M7" i="1" s="1"/>
  <c r="J3" i="1"/>
  <c r="J4" i="1"/>
  <c r="J2" i="1"/>
  <c r="G6" i="1"/>
  <c r="G7" i="1"/>
  <c r="G8" i="1"/>
  <c r="G9" i="1"/>
  <c r="G10" i="1"/>
  <c r="G11" i="1"/>
  <c r="G12" i="1"/>
  <c r="I6" i="1"/>
  <c r="I7" i="1"/>
  <c r="I8" i="1"/>
  <c r="I9" i="1"/>
  <c r="I10" i="1"/>
  <c r="I11" i="1"/>
  <c r="I12" i="1"/>
  <c r="I13" i="1"/>
  <c r="I14" i="1"/>
  <c r="M3" i="1"/>
  <c r="M4" i="1"/>
  <c r="M5" i="1"/>
  <c r="M2" i="1"/>
  <c r="R16" i="1" l="1"/>
  <c r="E9" i="1"/>
  <c r="M9" i="1" s="1"/>
  <c r="E10" i="1"/>
  <c r="E11" i="1"/>
  <c r="E12" i="1"/>
  <c r="E13" i="1"/>
  <c r="E8" i="1"/>
  <c r="M8" i="1" s="1"/>
  <c r="R3" i="1"/>
  <c r="R4" i="1"/>
  <c r="R5" i="1"/>
  <c r="R6" i="1"/>
  <c r="R7" i="1"/>
  <c r="R2" i="1"/>
  <c r="T3" i="1"/>
  <c r="T4" i="1"/>
  <c r="T5" i="1"/>
  <c r="T6" i="1"/>
  <c r="H6" i="1" s="1"/>
  <c r="T7" i="1"/>
  <c r="H7" i="1" s="1"/>
  <c r="T8" i="1"/>
  <c r="H8" i="1" s="1"/>
  <c r="T9" i="1"/>
  <c r="H9" i="1" s="1"/>
  <c r="T10" i="1"/>
  <c r="H10" i="1" s="1"/>
  <c r="T11" i="1"/>
  <c r="H11" i="1" s="1"/>
  <c r="T12" i="1"/>
  <c r="H12" i="1" s="1"/>
  <c r="T13" i="1"/>
  <c r="H13" i="1" s="1"/>
  <c r="T14" i="1"/>
  <c r="H14" i="1" s="1"/>
  <c r="T15" i="1"/>
  <c r="H15" i="1" s="1"/>
  <c r="T16" i="1"/>
  <c r="T17" i="1"/>
  <c r="T2" i="1"/>
  <c r="Q6" i="1"/>
  <c r="Q7" i="1"/>
  <c r="Q8" i="1"/>
  <c r="Q9" i="1"/>
  <c r="Q10" i="1"/>
  <c r="Q11" i="1"/>
  <c r="Q12" i="1"/>
  <c r="Q13" i="1"/>
  <c r="R8" i="1" l="1"/>
  <c r="R9" i="1"/>
  <c r="R12" i="1"/>
  <c r="M12" i="1"/>
  <c r="R11" i="1"/>
  <c r="M11" i="1"/>
  <c r="R10" i="1"/>
  <c r="M10" i="1"/>
  <c r="R13" i="1"/>
  <c r="M13" i="1"/>
  <c r="A5" i="2" l="1"/>
  <c r="A6" i="2" s="1"/>
  <c r="C14" i="1"/>
  <c r="G14" i="1" s="1"/>
  <c r="A9" i="1"/>
  <c r="A10" i="1" s="1"/>
  <c r="A11" i="1" s="1"/>
  <c r="A12" i="1" s="1"/>
  <c r="A13" i="1" s="1"/>
  <c r="A14" i="1" s="1"/>
  <c r="E14" i="1" l="1"/>
  <c r="M14" i="1" s="1"/>
  <c r="A7" i="2"/>
  <c r="A8" i="2" s="1"/>
  <c r="A9" i="2" s="1"/>
  <c r="A10" i="2" s="1"/>
  <c r="A11" i="2" s="1"/>
  <c r="Q14" i="1"/>
  <c r="R14" i="1" l="1"/>
  <c r="R15" i="1"/>
</calcChain>
</file>

<file path=xl/comments1.xml><?xml version="1.0" encoding="utf-8"?>
<comments xmlns="http://schemas.openxmlformats.org/spreadsheetml/2006/main">
  <authors>
    <author>Rafael BAP</author>
    <author>Rafael Bianchini Abreu Paiva</author>
  </authors>
  <commentList>
    <comment ref="F1" authorId="0">
      <text>
        <r>
          <rPr>
            <b/>
            <sz val="9"/>
            <color indexed="81"/>
            <rFont val="Segoe UI"/>
            <family val="2"/>
          </rPr>
          <t>De 2003 a 2010, TCMSP (TC 72-002.292.08-09), De 2010 em diante, https://www.fnde.gov.br/siope/demonstrativoFuncaoEducacao.do</t>
        </r>
      </text>
    </comment>
    <comment ref="A2" authorId="1">
      <text>
        <r>
          <rPr>
            <b/>
            <sz val="9"/>
            <color indexed="81"/>
            <rFont val="Tahoma"/>
            <family val="2"/>
          </rPr>
          <t>TC 72-002.292.08-09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4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http://www.tcm.sp.gov.br/relatorios/contas08/Raf-PMSP-2007/RelatCompleto.pdf</t>
        </r>
      </text>
    </comment>
    <comment ref="A7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http://www.tcm.sp.gov.br/relatorios/contas09/RELATRIO%20SFC.pdf</t>
        </r>
      </text>
    </comment>
    <comment ref="A8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11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12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13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14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http://www.tcm.sp.gov.br/relatorios/AnualFiscalizacao/RAF%202016.pdf</t>
        </r>
      </text>
    </comment>
    <comment ref="D15" authorId="1">
      <text>
        <r>
          <rPr>
            <b/>
            <sz val="9"/>
            <color indexed="81"/>
            <rFont val="Tahoma"/>
            <charset val="1"/>
          </rPr>
          <t>PMSP usou 19% em vez dos 60% autorizados por lei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56" authorId="1">
      <text>
        <r>
          <rPr>
            <b/>
            <sz val="9"/>
            <color indexed="81"/>
            <rFont val="Tahoma"/>
            <charset val="1"/>
          </rPr>
          <t>http://www.prefeitura.sp.gov.br/cidade/upload/Educacao_3Bim_1469649267.pdf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57" authorId="1">
      <text>
        <r>
          <rPr>
            <b/>
            <sz val="9"/>
            <color indexed="81"/>
            <rFont val="Tahoma"/>
            <family val="2"/>
          </rPr>
          <t>http://www.prefeitura.sp.gov.br/cidade/upload/Educacao_6BIM_2016_prelim_1485790566.pdf</t>
        </r>
      </text>
    </comment>
    <comment ref="A58" authorId="1">
      <text>
        <r>
          <rPr>
            <b/>
            <sz val="9"/>
            <color indexed="81"/>
            <rFont val="Tahoma"/>
            <charset val="1"/>
          </rPr>
          <t>http://orcamento.sf.prefeitura.sp.gov.br/orcamento/uploads/2017/EducacaoDemonstrativo3bimestre.pdf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Rafael BAP</author>
    <author>Rafael Bianchini Abreu Paiva</author>
  </authors>
  <commentList>
    <comment ref="F1" authorId="0">
      <text>
        <r>
          <rPr>
            <b/>
            <sz val="9"/>
            <color indexed="81"/>
            <rFont val="Segoe UI"/>
            <family val="2"/>
          </rPr>
          <t>De 2003 a 2010, TCMSP (TC 72-002.292.08-09), De 2010 em diante, https://www.fnde.gov.br/siope/demonstrativoFuncaoEducacao.do</t>
        </r>
      </text>
    </comment>
    <comment ref="A2" authorId="1">
      <text>
        <r>
          <rPr>
            <b/>
            <sz val="9"/>
            <color indexed="81"/>
            <rFont val="Tahoma"/>
            <family val="2"/>
          </rPr>
          <t>TC 72-002.292.08-09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4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TC 72-002.292.08-09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http://www.tcm.sp.gov.br/relatorios/contas08/Raf-PMSP-2007/RelatCompleto.pdf</t>
        </r>
      </text>
    </comment>
    <comment ref="A7" authorId="1">
      <text>
        <r>
          <rPr>
            <b/>
            <sz val="9"/>
            <color indexed="81"/>
            <rFont val="Tahoma"/>
            <family val="2"/>
          </rPr>
          <t>TC 72-002.292.08-09 e http://www.tcm.sp.gov.br/relatorios/contas09/RELATRIO%20SFC.pdf</t>
        </r>
      </text>
    </comment>
    <comment ref="A8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11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12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13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14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http://www.tcm.sp.gov.br/relatorios/AnualFiscalizacao/RAF%202016.pdf</t>
        </r>
      </text>
    </comment>
  </commentList>
</comments>
</file>

<file path=xl/comments3.xml><?xml version="1.0" encoding="utf-8"?>
<comments xmlns="http://schemas.openxmlformats.org/spreadsheetml/2006/main">
  <authors>
    <author>Rafael BAP</author>
    <author>Rafael Bianchini Abreu Paiva</author>
  </authors>
  <commentList>
    <comment ref="A2" authorId="0">
      <text>
        <r>
          <rPr>
            <b/>
            <sz val="9"/>
            <color indexed="81"/>
            <rFont val="Segoe UI"/>
            <family val="2"/>
          </rPr>
          <t>DOC ( http://www.docidadesp.imprensaoficial.com.br/ ), 07/08/2009
, p. 95</t>
        </r>
      </text>
    </comment>
    <comment ref="A4" authorId="1">
      <text>
        <r>
          <rPr>
            <b/>
            <sz val="9"/>
            <color indexed="81"/>
            <rFont val="Tahoma"/>
            <charset val="1"/>
          </rPr>
          <t>http://www.tcm.sp.gov.br/relatorios/AnualFiscalizacao/7591000RA04RT001-10.pdf</t>
        </r>
      </text>
    </comment>
    <comment ref="A5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http://www.tcm.sp.gov.br/relatorios/AnualFiscalizacao/RelatorioAnualDeFiscalizacao2010.pdf</t>
        </r>
      </text>
    </comment>
    <comment ref="A6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http://www.tcm.sp.gov.br/relatorios/AnualFiscalizacao/RelatorioAnualDeFiscalizacao2011.pdf</t>
        </r>
      </text>
    </comment>
    <comment ref="A7" authorId="0">
      <text>
        <r>
          <rPr>
            <b/>
            <sz val="9"/>
            <color indexed="81"/>
            <rFont val="Segoe UI"/>
            <charset val="1"/>
          </rPr>
          <t>DOC ( http://www.docidadesp.imprensaoficial.com.br/ ), 12/09/2013, p. 78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A8" authorId="1">
      <text>
        <r>
          <rPr>
            <b/>
            <sz val="9"/>
            <color indexed="81"/>
            <rFont val="Tahoma"/>
            <family val="2"/>
          </rPr>
          <t>DOC ( http://www.docidadesp.imprensaoficial.com.br/ ), 24/07/2014, p. 108</t>
        </r>
      </text>
    </comment>
    <comment ref="A9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http://www.tcm.sp.gov.br/relatorios/AnualFiscalizacao/RAF%202014v2.pdf</t>
        </r>
      </text>
    </comment>
    <comment ref="A10" authorId="1">
      <text>
        <r>
          <rPr>
            <b/>
            <sz val="9"/>
            <color indexed="81"/>
            <rFont val="Tahoma"/>
            <family val="2"/>
          </rPr>
          <t>http://www.tcm.sp.gov.br/relatorios/AnualFiscalizacao/RAF%202015.pdf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http://www.prefeitura.sp.gov.br/cidade/upload/Saude_6BIM_2016_prelim_1485790657.pdf</t>
        </r>
      </text>
    </comment>
    <comment ref="A26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http://www.prefeitura.sp.gov.br/cidade/upload/Saude_%203Bim_1469649447.pdf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27" authorId="1">
      <text>
        <r>
          <rPr>
            <b/>
            <sz val="9"/>
            <color indexed="81"/>
            <rFont val="Tahoma"/>
            <charset val="1"/>
          </rPr>
          <t>http://www.prefeitura.sp.gov.br/cidade/upload/Saude_6BIM_2016_prelim_1485790657.pdf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<sst xmlns="http://schemas.openxmlformats.org/spreadsheetml/2006/main" count="49" uniqueCount="23">
  <si>
    <t>Impostos</t>
  </si>
  <si>
    <t>despesas liquidadas e as inscritas em restos a pagar não processados com disponibilidade financeira</t>
  </si>
  <si>
    <t>TCMSP</t>
  </si>
  <si>
    <t>PMSP</t>
  </si>
  <si>
    <t>despesas empenhadas</t>
  </si>
  <si>
    <t>MDE</t>
  </si>
  <si>
    <t>Educação inclusiva</t>
  </si>
  <si>
    <t>Inativos (rateio)</t>
  </si>
  <si>
    <t>Lei 15.963/14</t>
  </si>
  <si>
    <t>EC 29/2000</t>
  </si>
  <si>
    <t>MDE + EI</t>
  </si>
  <si>
    <t>MDE s/ inativos</t>
  </si>
  <si>
    <t>MDE c/ regra transição</t>
  </si>
  <si>
    <t>EI</t>
  </si>
  <si>
    <t>ME</t>
  </si>
  <si>
    <t>MDE + EI s/ inativos</t>
  </si>
  <si>
    <t>Inativos</t>
  </si>
  <si>
    <t>Total</t>
  </si>
  <si>
    <t>Portaria STN/559</t>
  </si>
  <si>
    <t>jul/6-jul/17</t>
  </si>
  <si>
    <t>Saúde</t>
  </si>
  <si>
    <t>RCL</t>
  </si>
  <si>
    <t>jul/16-jun/17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</si>
</sst>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%"/>
    <numFmt numFmtId="165" formatCode="_-* #,##0.000_-;\-* #,##0.000_-;_-* &quot;-&quot;??_-;_-@_-"/>
    <numFmt numFmtId="166" formatCode="0_ ;\-0\ "/>
  </numFmts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9"/>
      <color indexed="81"/>
      <name val="Segoe UI"/>
      <family val="2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43" fontId="0" fillId="0" borderId="0" xfId="1" applyFont="1"/>
    <xf numFmtId="0" fontId="2" fillId="0" borderId="0" xfId="0" applyFont="1" applyAlignment="1">
      <alignment horizontal="left"/>
    </xf>
    <xf numFmtId="0" fontId="2" fillId="0" borderId="0" xfId="0" applyFont="1"/>
    <xf numFmtId="43" fontId="2" fillId="0" borderId="0" xfId="1" applyFont="1"/>
    <xf numFmtId="10" fontId="0" fillId="0" borderId="0" xfId="2" applyNumberFormat="1" applyFont="1"/>
    <xf numFmtId="10" fontId="0" fillId="0" borderId="0" xfId="0" applyNumberFormat="1"/>
    <xf numFmtId="9" fontId="0" fillId="0" borderId="0" xfId="0" applyNumberFormat="1"/>
    <xf numFmtId="164" fontId="0" fillId="0" borderId="0" xfId="2" applyNumberFormat="1" applyFont="1"/>
    <xf numFmtId="9" fontId="0" fillId="0" borderId="0" xfId="0" applyNumberFormat="1" applyFont="1"/>
    <xf numFmtId="9" fontId="1" fillId="0" borderId="0" xfId="1" applyNumberFormat="1" applyFont="1"/>
    <xf numFmtId="3" fontId="0" fillId="0" borderId="0" xfId="0" applyNumberFormat="1"/>
    <xf numFmtId="10" fontId="0" fillId="0" borderId="0" xfId="1" applyNumberFormat="1" applyFont="1"/>
    <xf numFmtId="43" fontId="0" fillId="0" borderId="0" xfId="0" applyNumberFormat="1"/>
    <xf numFmtId="164" fontId="0" fillId="0" borderId="0" xfId="0" applyNumberFormat="1"/>
    <xf numFmtId="17" fontId="0" fillId="0" borderId="0" xfId="0" applyNumberFormat="1"/>
    <xf numFmtId="9" fontId="0" fillId="0" borderId="0" xfId="2" applyFont="1"/>
    <xf numFmtId="165" fontId="0" fillId="0" borderId="0" xfId="1" applyNumberFormat="1" applyFont="1"/>
    <xf numFmtId="4" fontId="0" fillId="0" borderId="0" xfId="0" applyNumberFormat="1"/>
    <xf numFmtId="166" fontId="0" fillId="0" borderId="0" xfId="1" applyNumberFormat="1" applyFont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 - Percentual dos impostos</a:t>
            </a:r>
            <a:r>
              <a:rPr lang="pt-BR" baseline="0"/>
              <a:t> gastos</a:t>
            </a:r>
            <a:r>
              <a:rPr lang="pt-BR"/>
              <a:t> com educação e educação inclusiva (LOM: 31%)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38E-4CC2-850B-3FB99173E440}"/>
              </c:ext>
            </c:extLst>
          </c:dPt>
          <c:dPt>
            <c:idx val="11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38E-4CC2-850B-3FB99173E440}"/>
              </c:ext>
            </c:extLst>
          </c:dPt>
          <c:dPt>
            <c:idx val="12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38E-4CC2-850B-3FB99173E440}"/>
              </c:ext>
            </c:extLst>
          </c:dPt>
          <c:dPt>
            <c:idx val="13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38E-4CC2-850B-3FB99173E440}"/>
              </c:ext>
            </c:extLst>
          </c:dPt>
          <c:dPt>
            <c:idx val="14"/>
            <c:invertIfNegative val="0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  <a:effectLst/>
            </c:spPr>
          </c:dPt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Comparável'!$R$2:$R$16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4">
                  <c:v>0.32222594057035592</c:v>
                </c:pt>
                <c:pt idx="5">
                  <c:v>0.3177177628378331</c:v>
                </c:pt>
                <c:pt idx="6">
                  <c:v>0.32124775024284141</c:v>
                </c:pt>
                <c:pt idx="7">
                  <c:v>0.3207129140741759</c:v>
                </c:pt>
                <c:pt idx="8">
                  <c:v>0.31868197132092829</c:v>
                </c:pt>
                <c:pt idx="9">
                  <c:v>0.31203277780716521</c:v>
                </c:pt>
                <c:pt idx="10">
                  <c:v>0.31584460196906056</c:v>
                </c:pt>
                <c:pt idx="11">
                  <c:v>0.33798225311434266</c:v>
                </c:pt>
                <c:pt idx="12">
                  <c:v>0.34664153042474005</c:v>
                </c:pt>
                <c:pt idx="13">
                  <c:v>0.35235714081522113</c:v>
                </c:pt>
                <c:pt idx="14">
                  <c:v>0.34132295059968082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838E-4CC2-850B-3FB99173E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8223744"/>
        <c:axId val="88225280"/>
      </c:barChart>
      <c:catAx>
        <c:axId val="88223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225280"/>
        <c:crosses val="autoZero"/>
        <c:auto val="1"/>
        <c:lblAlgn val="ctr"/>
        <c:lblOffset val="100"/>
        <c:noMultiLvlLbl val="0"/>
      </c:catAx>
      <c:valAx>
        <c:axId val="88225280"/>
        <c:scaling>
          <c:orientation val="minMax"/>
          <c:max val="0.36000000000000004"/>
          <c:min val="0.3100000000000000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223744"/>
        <c:crosses val="autoZero"/>
        <c:crossBetween val="between"/>
        <c:majorUnit val="1.0000000000000002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Percentual dos impostos gastos com educação e educação inclusiva (LOM: 31%)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LOA - Inativos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Comparável'!$M$2:$M$16</c:f>
              <c:numCache>
                <c:formatCode>0.00%</c:formatCode>
                <c:ptCount val="15"/>
                <c:pt idx="0">
                  <c:v>0.26206135700330002</c:v>
                </c:pt>
                <c:pt idx="1">
                  <c:v>0.24463766955775951</c:v>
                </c:pt>
                <c:pt idx="2">
                  <c:v>0.27918074400981874</c:v>
                </c:pt>
                <c:pt idx="3">
                  <c:v>0.29134496186103304</c:v>
                </c:pt>
                <c:pt idx="4">
                  <c:v>0.29240410428443586</c:v>
                </c:pt>
                <c:pt idx="5">
                  <c:v>0.28959358485032433</c:v>
                </c:pt>
                <c:pt idx="6">
                  <c:v>0.28798817652535008</c:v>
                </c:pt>
                <c:pt idx="7">
                  <c:v>0.28750466493310822</c:v>
                </c:pt>
                <c:pt idx="8">
                  <c:v>0.28567424022548649</c:v>
                </c:pt>
                <c:pt idx="9">
                  <c:v>0.27666363528427118</c:v>
                </c:pt>
                <c:pt idx="10">
                  <c:v>0.26910182442768488</c:v>
                </c:pt>
                <c:pt idx="11">
                  <c:v>0.29251237266114949</c:v>
                </c:pt>
                <c:pt idx="12">
                  <c:v>0.31028847716753349</c:v>
                </c:pt>
                <c:pt idx="13">
                  <c:v>0.30645034758955914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951-4C4C-A3C9-F34C47D0D189}"/>
            </c:ext>
          </c:extLst>
        </c:ser>
        <c:ser>
          <c:idx val="1"/>
          <c:order val="1"/>
          <c:tx>
            <c:v>Inativos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Comparável'!$N$2:$N$16</c:f>
              <c:numCache>
                <c:formatCode>0.00%</c:formatCode>
                <c:ptCount val="15"/>
                <c:pt idx="0">
                  <c:v>6.5536244950506348E-2</c:v>
                </c:pt>
                <c:pt idx="1">
                  <c:v>6.7518272093264789E-2</c:v>
                </c:pt>
                <c:pt idx="2">
                  <c:v>5.1572973813330564E-2</c:v>
                </c:pt>
                <c:pt idx="3">
                  <c:v>2.6939126516045627E-2</c:v>
                </c:pt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4.5906793225662004E-2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951-4C4C-A3C9-F34C47D0D189}"/>
            </c:ext>
          </c:extLst>
        </c:ser>
        <c:ser>
          <c:idx val="2"/>
          <c:order val="2"/>
          <c:tx>
            <c:v>Total</c:v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Comparável'!$O$2:$O$16</c:f>
              <c:numCache>
                <c:formatCode>0.00%</c:formatCode>
                <c:ptCount val="15"/>
                <c:pt idx="14">
                  <c:v>0.34132295059968082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51-4C4C-A3C9-F34C47D0D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8268800"/>
        <c:axId val="88270336"/>
      </c:barChart>
      <c:catAx>
        <c:axId val="88268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270336"/>
        <c:crosses val="autoZero"/>
        <c:auto val="1"/>
        <c:lblAlgn val="ctr"/>
        <c:lblOffset val="100"/>
        <c:noMultiLvlLbl val="0"/>
      </c:catAx>
      <c:valAx>
        <c:axId val="88270336"/>
        <c:scaling>
          <c:orientation val="minMax"/>
          <c:max val="0.37000000000000005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268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Composição</a:t>
            </a:r>
            <a:r>
              <a:rPr lang="pt-BR" sz="1200" baseline="0"/>
              <a:t> dos gastos com educação como percentual dos impostos (CF e LOM) </a:t>
            </a:r>
            <a:endParaRPr lang="pt-BR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'Educação - Comparável'!$G$1</c:f>
              <c:strCache>
                <c:ptCount val="1"/>
                <c:pt idx="0">
                  <c:v>MDE s/ inativos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Comparável'!$G$2:$G$16</c:f>
              <c:numCache>
                <c:formatCode>0.00%</c:formatCode>
                <c:ptCount val="15"/>
                <c:pt idx="4">
                  <c:v>0.23552491160558314</c:v>
                </c:pt>
                <c:pt idx="5">
                  <c:v>0.24111748092531834</c:v>
                </c:pt>
                <c:pt idx="6">
                  <c:v>0.24485946200627628</c:v>
                </c:pt>
                <c:pt idx="7">
                  <c:v>0.24119007978166171</c:v>
                </c:pt>
                <c:pt idx="8">
                  <c:v>0.24623142981639876</c:v>
                </c:pt>
                <c:pt idx="9">
                  <c:v>0.24455268994703305</c:v>
                </c:pt>
                <c:pt idx="10">
                  <c:v>0.23656703598591072</c:v>
                </c:pt>
                <c:pt idx="11">
                  <c:v>0.25915351110086399</c:v>
                </c:pt>
                <c:pt idx="12">
                  <c:v>0.26508091989709215</c:v>
                </c:pt>
                <c:pt idx="13">
                  <c:v>0.26863352227572074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89C-4F47-8959-65B3B21CC019}"/>
            </c:ext>
          </c:extLst>
        </c:ser>
        <c:ser>
          <c:idx val="1"/>
          <c:order val="1"/>
          <c:tx>
            <c:strRef>
              <c:f>'Educação - Comparável'!$H$1</c:f>
              <c:strCache>
                <c:ptCount val="1"/>
                <c:pt idx="0">
                  <c:v>EI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Comparável'!$H$2:$H$16</c:f>
              <c:numCache>
                <c:formatCode>0.00%</c:formatCode>
                <c:ptCount val="15"/>
                <c:pt idx="4">
                  <c:v>5.6879192678852747E-2</c:v>
                </c:pt>
                <c:pt idx="5">
                  <c:v>4.8476103925005995E-2</c:v>
                </c:pt>
                <c:pt idx="6">
                  <c:v>4.3128714519073824E-2</c:v>
                </c:pt>
                <c:pt idx="7">
                  <c:v>4.631458515144652E-2</c:v>
                </c:pt>
                <c:pt idx="8">
                  <c:v>3.9442810409087717E-2</c:v>
                </c:pt>
                <c:pt idx="9">
                  <c:v>3.2110945337238128E-2</c:v>
                </c:pt>
                <c:pt idx="10">
                  <c:v>3.2534788441774168E-2</c:v>
                </c:pt>
                <c:pt idx="11">
                  <c:v>3.3358861560285537E-2</c:v>
                </c:pt>
                <c:pt idx="12">
                  <c:v>4.5207557270441331E-2</c:v>
                </c:pt>
                <c:pt idx="13">
                  <c:v>3.7816825313838384E-2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89C-4F47-8959-65B3B21CC019}"/>
            </c:ext>
          </c:extLst>
        </c:ser>
        <c:ser>
          <c:idx val="2"/>
          <c:order val="2"/>
          <c:tx>
            <c:strRef>
              <c:f>'Educação - Comparável'!$I$1</c:f>
              <c:strCache>
                <c:ptCount val="1"/>
                <c:pt idx="0">
                  <c:v>Inativos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Comparável'!$I$2:$I$16</c:f>
              <c:numCache>
                <c:formatCode>0.00%</c:formatCode>
                <c:ptCount val="15"/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4.5906793225662004E-2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89C-4F47-8959-65B3B21CC019}"/>
            </c:ext>
          </c:extLst>
        </c:ser>
        <c:ser>
          <c:idx val="3"/>
          <c:order val="3"/>
          <c:tx>
            <c:strRef>
              <c:f>'Educação - Comparável'!$J$1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'Educação - Comparável'!$A$2:$A$16</c:f>
              <c:strCach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jul/6-jul/17</c:v>
                </c:pt>
              </c:strCache>
            </c:strRef>
          </c:cat>
          <c:val>
            <c:numRef>
              <c:f>'Educação - Comparável'!$J$2:$J$16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14" formatCode="0.0%">
                  <c:v>0.34132295059968082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89C-4F47-8959-65B3B21CC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6738432"/>
        <c:axId val="86739968"/>
      </c:barChart>
      <c:catAx>
        <c:axId val="86738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6739968"/>
        <c:crosses val="autoZero"/>
        <c:auto val="1"/>
        <c:lblAlgn val="ctr"/>
        <c:lblOffset val="100"/>
        <c:noMultiLvlLbl val="0"/>
      </c:catAx>
      <c:valAx>
        <c:axId val="86739968"/>
        <c:scaling>
          <c:orientation val="minMax"/>
          <c:max val="0.37000000000000005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6738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 - Percentual dos impostos</a:t>
            </a:r>
            <a:r>
              <a:rPr lang="pt-BR" baseline="0"/>
              <a:t> gastos</a:t>
            </a:r>
            <a:r>
              <a:rPr lang="pt-BR"/>
              <a:t> com educação e educação inclusiva (LOM: 31%)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38E-4CC2-850B-3FB99173E440}"/>
              </c:ext>
            </c:extLst>
          </c:dPt>
          <c:dPt>
            <c:idx val="11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38E-4CC2-850B-3FB99173E440}"/>
              </c:ext>
            </c:extLst>
          </c:dPt>
          <c:dPt>
            <c:idx val="12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38E-4CC2-850B-3FB99173E440}"/>
              </c:ext>
            </c:extLst>
          </c:dPt>
          <c:dPt>
            <c:idx val="13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38E-4CC2-850B-3FB99173E440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</c:dPt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TCMSP'!$R$2:$R$16</c:f>
              <c:numCache>
                <c:formatCode>0.00%</c:formatCode>
                <c:ptCount val="15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  <c:pt idx="4">
                  <c:v>0.32222594057035592</c:v>
                </c:pt>
                <c:pt idx="5">
                  <c:v>0.3177177628378331</c:v>
                </c:pt>
                <c:pt idx="6">
                  <c:v>0.32124775024284141</c:v>
                </c:pt>
                <c:pt idx="7">
                  <c:v>0.3207129140741759</c:v>
                </c:pt>
                <c:pt idx="8">
                  <c:v>0.31868197132092829</c:v>
                </c:pt>
                <c:pt idx="9">
                  <c:v>0.31203277780716521</c:v>
                </c:pt>
                <c:pt idx="10">
                  <c:v>0.31584460196906056</c:v>
                </c:pt>
                <c:pt idx="11">
                  <c:v>0.33798225311434266</c:v>
                </c:pt>
                <c:pt idx="12">
                  <c:v>0.34664153042474005</c:v>
                </c:pt>
                <c:pt idx="13">
                  <c:v>0.34317578217008871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838E-4CC2-850B-3FB99173E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8739200"/>
        <c:axId val="88753280"/>
      </c:barChart>
      <c:catAx>
        <c:axId val="88739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753280"/>
        <c:crosses val="autoZero"/>
        <c:auto val="1"/>
        <c:lblAlgn val="ctr"/>
        <c:lblOffset val="100"/>
        <c:noMultiLvlLbl val="0"/>
      </c:catAx>
      <c:valAx>
        <c:axId val="88753280"/>
        <c:scaling>
          <c:orientation val="minMax"/>
          <c:max val="0.35000000000000003"/>
          <c:min val="0.29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739200"/>
        <c:crosses val="autoZero"/>
        <c:crossBetween val="between"/>
        <c:majorUnit val="1.0000000000000002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Percentual dos impostos gastos com educação e educação inclusiva (LOM: 31%)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LOA - Inativos</c:v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TCMSP'!$M$2:$M$16</c:f>
              <c:numCache>
                <c:formatCode>0.00%</c:formatCode>
                <c:ptCount val="15"/>
                <c:pt idx="0">
                  <c:v>0.26206135700330002</c:v>
                </c:pt>
                <c:pt idx="1">
                  <c:v>0.24463766955775951</c:v>
                </c:pt>
                <c:pt idx="2">
                  <c:v>0.27918074400981874</c:v>
                </c:pt>
                <c:pt idx="3">
                  <c:v>0.29134496186103304</c:v>
                </c:pt>
                <c:pt idx="4">
                  <c:v>0.29240410428443586</c:v>
                </c:pt>
                <c:pt idx="5">
                  <c:v>0.28959358485032433</c:v>
                </c:pt>
                <c:pt idx="6">
                  <c:v>0.28798817652535008</c:v>
                </c:pt>
                <c:pt idx="7">
                  <c:v>0.28750466493310822</c:v>
                </c:pt>
                <c:pt idx="8">
                  <c:v>0.28567424022548649</c:v>
                </c:pt>
                <c:pt idx="9">
                  <c:v>0.27666363528427118</c:v>
                </c:pt>
                <c:pt idx="10">
                  <c:v>0.26910182442768488</c:v>
                </c:pt>
                <c:pt idx="11">
                  <c:v>0.29251237266114949</c:v>
                </c:pt>
                <c:pt idx="12">
                  <c:v>0.31028847716753349</c:v>
                </c:pt>
                <c:pt idx="13">
                  <c:v>0.29726898894442672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951-4C4C-A3C9-F34C47D0D189}"/>
            </c:ext>
          </c:extLst>
        </c:ser>
        <c:ser>
          <c:idx val="1"/>
          <c:order val="1"/>
          <c:tx>
            <c:v>Inativos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TCMSP'!$N$2:$N$16</c:f>
              <c:numCache>
                <c:formatCode>0.00%</c:formatCode>
                <c:ptCount val="15"/>
                <c:pt idx="0">
                  <c:v>6.5536244950506348E-2</c:v>
                </c:pt>
                <c:pt idx="1">
                  <c:v>6.7518272093264789E-2</c:v>
                </c:pt>
                <c:pt idx="2">
                  <c:v>5.1572973813330564E-2</c:v>
                </c:pt>
                <c:pt idx="3">
                  <c:v>2.6939126516045627E-2</c:v>
                </c:pt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4.5906793225662004E-2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951-4C4C-A3C9-F34C47D0D189}"/>
            </c:ext>
          </c:extLst>
        </c:ser>
        <c:ser>
          <c:idx val="2"/>
          <c:order val="2"/>
          <c:tx>
            <c:v>Total</c:v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TCMSP'!$O$2:$O$5</c:f>
              <c:numCache>
                <c:formatCode>0.00%</c:formatCode>
                <c:ptCount val="4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51-4C4C-A3C9-F34C47D0D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8794624"/>
        <c:axId val="88796160"/>
      </c:barChart>
      <c:catAx>
        <c:axId val="88794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796160"/>
        <c:crosses val="autoZero"/>
        <c:auto val="1"/>
        <c:lblAlgn val="ctr"/>
        <c:lblOffset val="100"/>
        <c:noMultiLvlLbl val="0"/>
      </c:catAx>
      <c:valAx>
        <c:axId val="88796160"/>
        <c:scaling>
          <c:orientation val="minMax"/>
          <c:max val="0.35000000000000003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88794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PMSP - Composição</a:t>
            </a:r>
            <a:r>
              <a:rPr lang="pt-BR" sz="1200" baseline="0"/>
              <a:t> dos gastos com educação como percentual dos impostos (CF e LOM) </a:t>
            </a:r>
            <a:endParaRPr lang="pt-BR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'Educação - TCMSP'!$G$1</c:f>
              <c:strCache>
                <c:ptCount val="1"/>
                <c:pt idx="0">
                  <c:v>MDE s/ inativos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TCMSP'!$G$2:$G$16</c:f>
              <c:numCache>
                <c:formatCode>0.00%</c:formatCode>
                <c:ptCount val="15"/>
                <c:pt idx="4">
                  <c:v>0.23552491160558314</c:v>
                </c:pt>
                <c:pt idx="5">
                  <c:v>0.24111748092531834</c:v>
                </c:pt>
                <c:pt idx="6">
                  <c:v>0.24485946200627628</c:v>
                </c:pt>
                <c:pt idx="7">
                  <c:v>0.24119007978166171</c:v>
                </c:pt>
                <c:pt idx="8">
                  <c:v>0.24623142981639876</c:v>
                </c:pt>
                <c:pt idx="9">
                  <c:v>0.24455268994703305</c:v>
                </c:pt>
                <c:pt idx="10">
                  <c:v>0.23656703598591072</c:v>
                </c:pt>
                <c:pt idx="11">
                  <c:v>0.25915351110086399</c:v>
                </c:pt>
                <c:pt idx="12">
                  <c:v>0.26508091989709215</c:v>
                </c:pt>
                <c:pt idx="13">
                  <c:v>0.26863352227572074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89C-4F47-8959-65B3B21CC019}"/>
            </c:ext>
          </c:extLst>
        </c:ser>
        <c:ser>
          <c:idx val="1"/>
          <c:order val="1"/>
          <c:tx>
            <c:strRef>
              <c:f>'Educação - TCMSP'!$H$1</c:f>
              <c:strCache>
                <c:ptCount val="1"/>
                <c:pt idx="0">
                  <c:v>EI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TCMSP'!$H$2:$H$16</c:f>
              <c:numCache>
                <c:formatCode>0.00%</c:formatCode>
                <c:ptCount val="15"/>
                <c:pt idx="4">
                  <c:v>5.6879192678852747E-2</c:v>
                </c:pt>
                <c:pt idx="5">
                  <c:v>4.8476103925005995E-2</c:v>
                </c:pt>
                <c:pt idx="6">
                  <c:v>4.3128714519073824E-2</c:v>
                </c:pt>
                <c:pt idx="7">
                  <c:v>4.631458515144652E-2</c:v>
                </c:pt>
                <c:pt idx="8">
                  <c:v>3.9442810409087717E-2</c:v>
                </c:pt>
                <c:pt idx="9">
                  <c:v>3.2110945337238128E-2</c:v>
                </c:pt>
                <c:pt idx="10">
                  <c:v>3.2534788441774168E-2</c:v>
                </c:pt>
                <c:pt idx="11">
                  <c:v>3.3358861560285537E-2</c:v>
                </c:pt>
                <c:pt idx="12">
                  <c:v>4.5207557270441331E-2</c:v>
                </c:pt>
                <c:pt idx="13">
                  <c:v>2.8635466668705985E-2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89C-4F47-8959-65B3B21CC019}"/>
            </c:ext>
          </c:extLst>
        </c:ser>
        <c:ser>
          <c:idx val="2"/>
          <c:order val="2"/>
          <c:tx>
            <c:strRef>
              <c:f>'Educação - TCMSP'!$I$1</c:f>
              <c:strCache>
                <c:ptCount val="1"/>
                <c:pt idx="0">
                  <c:v>Inativos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TCMSP'!$I$2:$I$16</c:f>
              <c:numCache>
                <c:formatCode>0.00%</c:formatCode>
                <c:ptCount val="15"/>
                <c:pt idx="4">
                  <c:v>2.9821836285920035E-2</c:v>
                </c:pt>
                <c:pt idx="5">
                  <c:v>2.8124177987508762E-2</c:v>
                </c:pt>
                <c:pt idx="6">
                  <c:v>3.3259573717491338E-2</c:v>
                </c:pt>
                <c:pt idx="7">
                  <c:v>3.3208249141067694E-2</c:v>
                </c:pt>
                <c:pt idx="8">
                  <c:v>3.3007731095441847E-2</c:v>
                </c:pt>
                <c:pt idx="9">
                  <c:v>3.536914252289404E-2</c:v>
                </c:pt>
                <c:pt idx="10">
                  <c:v>4.6742777541375645E-2</c:v>
                </c:pt>
                <c:pt idx="11">
                  <c:v>4.5469880453193119E-2</c:v>
                </c:pt>
                <c:pt idx="12">
                  <c:v>3.6353053257206586E-2</c:v>
                </c:pt>
                <c:pt idx="13">
                  <c:v>4.5906793225662004E-2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89C-4F47-8959-65B3B21CC019}"/>
            </c:ext>
          </c:extLst>
        </c:ser>
        <c:ser>
          <c:idx val="3"/>
          <c:order val="3"/>
          <c:tx>
            <c:strRef>
              <c:f>'Educação - TCMSP'!$J$1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'Educação - TCMSP'!$A$2:$A$16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</c:numCache>
            </c:numRef>
          </c:cat>
          <c:val>
            <c:numRef>
              <c:f>'Educação - TCMSP'!$J$2:$J$5</c:f>
              <c:numCache>
                <c:formatCode>0.00%</c:formatCode>
                <c:ptCount val="4"/>
                <c:pt idx="0">
                  <c:v>0.32759760195380638</c:v>
                </c:pt>
                <c:pt idx="1">
                  <c:v>0.31215594165102428</c:v>
                </c:pt>
                <c:pt idx="2">
                  <c:v>0.33075371782314927</c:v>
                </c:pt>
                <c:pt idx="3">
                  <c:v>0.31828408837707867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89C-4F47-8959-65B3B21CC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1147264"/>
        <c:axId val="91149056"/>
      </c:barChart>
      <c:catAx>
        <c:axId val="91147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91149056"/>
        <c:crosses val="autoZero"/>
        <c:auto val="1"/>
        <c:lblAlgn val="ctr"/>
        <c:lblOffset val="100"/>
        <c:noMultiLvlLbl val="0"/>
      </c:catAx>
      <c:valAx>
        <c:axId val="91149056"/>
        <c:scaling>
          <c:orientation val="minMax"/>
          <c:max val="0.35000000000000003"/>
          <c:min val="0.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91147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PMSP: Despesa com saúde/RCL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</c:spPr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</c:dPt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</c:dPt>
          <c:dPt>
            <c:idx val="6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</c:dPt>
          <c:dPt>
            <c:idx val="7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</c:spPr>
          </c:dPt>
          <c:dPt>
            <c:idx val="8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dPt>
          <c:cat>
            <c:strRef>
              <c:f>Saúde!$A$4:$A$12</c:f>
              <c:strCache>
                <c:ptCount val="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jul/16-jun/17</c:v>
                </c:pt>
              </c:strCache>
            </c:strRef>
          </c:cat>
          <c:val>
            <c:numRef>
              <c:f>Saúde!$B$4:$B$12</c:f>
              <c:numCache>
                <c:formatCode>0.00%</c:formatCode>
                <c:ptCount val="9"/>
                <c:pt idx="0">
                  <c:v>0.1981</c:v>
                </c:pt>
                <c:pt idx="1">
                  <c:v>0.18559999999999999</c:v>
                </c:pt>
                <c:pt idx="2">
                  <c:v>0.183</c:v>
                </c:pt>
                <c:pt idx="3">
                  <c:v>0.18099999999999999</c:v>
                </c:pt>
                <c:pt idx="4">
                  <c:v>0.17760000000000001</c:v>
                </c:pt>
                <c:pt idx="5">
                  <c:v>0.1842</c:v>
                </c:pt>
                <c:pt idx="6">
                  <c:v>0.1946</c:v>
                </c:pt>
                <c:pt idx="7">
                  <c:v>0.22399883522702324</c:v>
                </c:pt>
                <c:pt idx="8">
                  <c:v>0.21873544771409856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88672896"/>
        <c:axId val="88674688"/>
      </c:barChart>
      <c:catAx>
        <c:axId val="8867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88674688"/>
        <c:crosses val="autoZero"/>
        <c:auto val="1"/>
        <c:lblAlgn val="ctr"/>
        <c:lblOffset val="100"/>
        <c:noMultiLvlLbl val="0"/>
      </c:catAx>
      <c:valAx>
        <c:axId val="88674688"/>
        <c:scaling>
          <c:orientation val="minMax"/>
          <c:max val="0.23"/>
          <c:min val="0.1500000000000000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88672896"/>
        <c:crosses val="autoZero"/>
        <c:crossBetween val="between"/>
        <c:majorUnit val="2.0000000000000004E-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4</xdr:col>
      <xdr:colOff>885825</xdr:colOff>
      <xdr:row>35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12</xdr:col>
      <xdr:colOff>590550</xdr:colOff>
      <xdr:row>35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4</xdr:col>
      <xdr:colOff>885825</xdr:colOff>
      <xdr:row>53</xdr:row>
      <xdr:rowOff>152400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4</xdr:col>
      <xdr:colOff>885825</xdr:colOff>
      <xdr:row>35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12</xdr:col>
      <xdr:colOff>590550</xdr:colOff>
      <xdr:row>35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4</xdr:col>
      <xdr:colOff>885825</xdr:colOff>
      <xdr:row>53</xdr:row>
      <xdr:rowOff>152400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0</xdr:row>
      <xdr:rowOff>33337</xdr:rowOff>
    </xdr:from>
    <xdr:to>
      <xdr:col>13</xdr:col>
      <xdr:colOff>314325</xdr:colOff>
      <xdr:row>17</xdr:row>
      <xdr:rowOff>52387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6"/>
  <sheetViews>
    <sheetView tabSelected="1" topLeftCell="A16" workbookViewId="0">
      <selection activeCell="N58" sqref="N58"/>
    </sheetView>
  </sheetViews>
  <sheetFormatPr defaultRowHeight="12.75" x14ac:dyDescent="0.2"/>
  <cols>
    <col min="1" max="1" width="9.7109375" bestFit="1" customWidth="1"/>
    <col min="2" max="3" width="17.7109375" bestFit="1" customWidth="1"/>
    <col min="4" max="4" width="19.85546875" bestFit="1" customWidth="1"/>
    <col min="5" max="5" width="17.7109375" bestFit="1" customWidth="1"/>
    <col min="6" max="6" width="16.5703125" bestFit="1" customWidth="1"/>
    <col min="7" max="7" width="15.85546875" bestFit="1" customWidth="1"/>
    <col min="8" max="8" width="6.28515625" bestFit="1" customWidth="1"/>
    <col min="9" max="9" width="9.140625" bestFit="1" customWidth="1"/>
    <col min="10" max="10" width="7.28515625" bestFit="1" customWidth="1"/>
    <col min="11" max="12" width="9.140625" customWidth="1"/>
    <col min="13" max="13" width="20" bestFit="1" customWidth="1"/>
    <col min="14" max="14" width="9.140625" bestFit="1" customWidth="1"/>
    <col min="15" max="16" width="9.140625" customWidth="1"/>
    <col min="17" max="17" width="23" customWidth="1"/>
    <col min="18" max="18" width="10.140625" customWidth="1"/>
  </cols>
  <sheetData>
    <row r="1" spans="1:24" x14ac:dyDescent="0.2">
      <c r="B1" s="3" t="s">
        <v>0</v>
      </c>
      <c r="C1" s="3" t="s">
        <v>5</v>
      </c>
      <c r="D1" s="4" t="s">
        <v>6</v>
      </c>
      <c r="E1" s="4" t="s">
        <v>10</v>
      </c>
      <c r="F1" s="4" t="s">
        <v>7</v>
      </c>
      <c r="G1" s="4" t="s">
        <v>11</v>
      </c>
      <c r="H1" s="4" t="s">
        <v>13</v>
      </c>
      <c r="I1" s="4" t="s">
        <v>16</v>
      </c>
      <c r="J1" s="4" t="s">
        <v>17</v>
      </c>
      <c r="K1" s="4"/>
      <c r="L1" s="4"/>
      <c r="M1" s="4" t="s">
        <v>15</v>
      </c>
      <c r="N1" s="4" t="s">
        <v>16</v>
      </c>
      <c r="O1" s="4" t="s">
        <v>17</v>
      </c>
      <c r="P1" s="4"/>
      <c r="Q1" s="4" t="s">
        <v>12</v>
      </c>
      <c r="R1" s="4" t="s">
        <v>10</v>
      </c>
      <c r="S1" s="3" t="s">
        <v>14</v>
      </c>
      <c r="T1" t="s">
        <v>13</v>
      </c>
      <c r="W1" t="s">
        <v>2</v>
      </c>
      <c r="X1" t="s">
        <v>1</v>
      </c>
    </row>
    <row r="2" spans="1:24" ht="12.95" x14ac:dyDescent="0.3">
      <c r="A2" s="2">
        <v>2003</v>
      </c>
      <c r="B2" s="1">
        <v>8490818423</v>
      </c>
      <c r="C2" s="1"/>
      <c r="D2" s="1"/>
      <c r="E2" s="1">
        <v>2781571754</v>
      </c>
      <c r="F2" s="1">
        <v>556456356</v>
      </c>
      <c r="G2" s="5"/>
      <c r="H2" s="5"/>
      <c r="I2" s="5"/>
      <c r="J2" s="5">
        <f>E2/B2</f>
        <v>0.32759760195380638</v>
      </c>
      <c r="K2" s="5"/>
      <c r="L2" s="5"/>
      <c r="M2" s="5">
        <f>(E2-F2)/B2</f>
        <v>0.26206135700330002</v>
      </c>
      <c r="N2" s="5">
        <f>F2/B2</f>
        <v>6.5536244950506348E-2</v>
      </c>
      <c r="O2" s="5"/>
      <c r="P2" s="5"/>
      <c r="Q2" s="8"/>
      <c r="R2" s="5">
        <f>E2/B2</f>
        <v>0.32759760195380638</v>
      </c>
      <c r="S2" s="9">
        <v>1</v>
      </c>
      <c r="T2" s="9">
        <f>100%-S2</f>
        <v>0</v>
      </c>
      <c r="W2" t="s">
        <v>3</v>
      </c>
      <c r="X2" t="s">
        <v>4</v>
      </c>
    </row>
    <row r="3" spans="1:24" ht="12.95" x14ac:dyDescent="0.3">
      <c r="A3" s="2">
        <v>2004</v>
      </c>
      <c r="B3" s="1">
        <v>9647894056</v>
      </c>
      <c r="C3" s="1"/>
      <c r="D3" s="1"/>
      <c r="E3" s="1">
        <v>3011647454</v>
      </c>
      <c r="F3" s="1">
        <v>651409136</v>
      </c>
      <c r="G3" s="5"/>
      <c r="H3" s="5"/>
      <c r="I3" s="5"/>
      <c r="J3" s="5">
        <f t="shared" ref="J3:J4" si="0">E3/B3</f>
        <v>0.31215594165102428</v>
      </c>
      <c r="K3" s="5"/>
      <c r="L3" s="5"/>
      <c r="M3" s="5">
        <f t="shared" ref="M3:M13" si="1">(E3-F3)/B3</f>
        <v>0.24463766955775951</v>
      </c>
      <c r="N3" s="5">
        <f t="shared" ref="N3:N14" si="2">F3/B3</f>
        <v>6.7518272093264789E-2</v>
      </c>
      <c r="O3" s="5"/>
      <c r="P3" s="5"/>
      <c r="Q3" s="8"/>
      <c r="R3" s="5">
        <f t="shared" ref="R3:R16" si="3">E3/B3</f>
        <v>0.31215594165102428</v>
      </c>
      <c r="S3" s="9">
        <v>1</v>
      </c>
      <c r="T3" s="9">
        <f t="shared" ref="T3:T17" si="4">100%-S3</f>
        <v>0</v>
      </c>
      <c r="W3" t="s">
        <v>18</v>
      </c>
    </row>
    <row r="4" spans="1:24" ht="12.95" x14ac:dyDescent="0.3">
      <c r="A4" s="2">
        <v>2005</v>
      </c>
      <c r="B4" s="1">
        <v>10967300316</v>
      </c>
      <c r="C4" s="1"/>
      <c r="D4" s="1"/>
      <c r="E4" s="1">
        <v>3627475354</v>
      </c>
      <c r="F4" s="1">
        <v>565616292</v>
      </c>
      <c r="G4" s="5"/>
      <c r="H4" s="5"/>
      <c r="I4" s="5"/>
      <c r="J4" s="5">
        <f t="shared" si="0"/>
        <v>0.33075371782314927</v>
      </c>
      <c r="K4" s="5"/>
      <c r="L4" s="5"/>
      <c r="M4" s="5">
        <f t="shared" si="1"/>
        <v>0.27918074400981874</v>
      </c>
      <c r="N4" s="5">
        <f t="shared" si="2"/>
        <v>5.1572973813330564E-2</v>
      </c>
      <c r="O4" s="5"/>
      <c r="P4" s="5"/>
      <c r="Q4" s="8"/>
      <c r="R4" s="5">
        <f t="shared" si="3"/>
        <v>0.33075371782314927</v>
      </c>
      <c r="S4" s="9">
        <v>1</v>
      </c>
      <c r="T4" s="9">
        <f t="shared" si="4"/>
        <v>0</v>
      </c>
    </row>
    <row r="5" spans="1:24" ht="12.95" x14ac:dyDescent="0.3">
      <c r="A5" s="2">
        <v>2006</v>
      </c>
      <c r="B5" s="1">
        <v>13105997360</v>
      </c>
      <c r="C5" s="11"/>
      <c r="D5" s="1"/>
      <c r="E5" s="1">
        <v>4171430422</v>
      </c>
      <c r="F5" s="1">
        <v>353064121</v>
      </c>
      <c r="G5" s="5"/>
      <c r="H5" s="5"/>
      <c r="I5" s="5"/>
      <c r="J5" s="5">
        <f>E5/B5</f>
        <v>0.31828408837707867</v>
      </c>
      <c r="K5" s="5"/>
      <c r="L5" s="5"/>
      <c r="M5" s="5">
        <f t="shared" si="1"/>
        <v>0.29134496186103304</v>
      </c>
      <c r="N5" s="5">
        <f t="shared" si="2"/>
        <v>2.6939126516045627E-2</v>
      </c>
      <c r="O5" s="5"/>
      <c r="P5" s="5"/>
      <c r="Q5" s="8"/>
      <c r="R5" s="5">
        <f t="shared" si="3"/>
        <v>0.31828408837707867</v>
      </c>
      <c r="S5" s="9">
        <v>1</v>
      </c>
      <c r="T5" s="9">
        <f t="shared" si="4"/>
        <v>0</v>
      </c>
    </row>
    <row r="6" spans="1:24" ht="12.95" x14ac:dyDescent="0.3">
      <c r="A6" s="2">
        <v>2007</v>
      </c>
      <c r="B6" s="1">
        <v>14869730145</v>
      </c>
      <c r="C6" s="1">
        <v>3945634536</v>
      </c>
      <c r="D6" s="1">
        <v>845778246</v>
      </c>
      <c r="E6" s="1">
        <f t="shared" ref="E6:E7" si="5">D6+C6</f>
        <v>4791412782</v>
      </c>
      <c r="F6" s="1">
        <v>443442658</v>
      </c>
      <c r="G6" s="5">
        <f t="shared" ref="G6:G11" si="6">(C6-F6*S6)/B6</f>
        <v>0.23552491160558314</v>
      </c>
      <c r="H6" s="5">
        <f>(D6-T6*F6)/B6</f>
        <v>5.6879192678852747E-2</v>
      </c>
      <c r="I6" s="5">
        <f t="shared" ref="I6:I15" si="7">F6/B6</f>
        <v>2.9821836285920035E-2</v>
      </c>
      <c r="J6" s="5"/>
      <c r="K6" s="5"/>
      <c r="L6" s="5"/>
      <c r="M6" s="5">
        <f t="shared" si="1"/>
        <v>0.29240410428443586</v>
      </c>
      <c r="N6" s="5">
        <f t="shared" si="2"/>
        <v>2.9821836285920035E-2</v>
      </c>
      <c r="O6" s="5"/>
      <c r="P6" s="5"/>
      <c r="Q6" s="5">
        <f t="shared" ref="Q6:Q16" si="8">C6/B6</f>
        <v>0.2653467478915032</v>
      </c>
      <c r="R6" s="5">
        <f t="shared" si="3"/>
        <v>0.32222594057035592</v>
      </c>
      <c r="S6" s="9">
        <v>1</v>
      </c>
      <c r="T6" s="9">
        <f t="shared" si="4"/>
        <v>0</v>
      </c>
    </row>
    <row r="7" spans="1:24" ht="12.95" x14ac:dyDescent="0.3">
      <c r="A7" s="2">
        <v>2008</v>
      </c>
      <c r="B7" s="1">
        <v>16831762166</v>
      </c>
      <c r="C7" s="1">
        <v>4531811568</v>
      </c>
      <c r="D7" s="1">
        <v>815938252</v>
      </c>
      <c r="E7" s="1">
        <f t="shared" si="5"/>
        <v>5347749820</v>
      </c>
      <c r="F7" s="1">
        <v>473379475</v>
      </c>
      <c r="G7" s="5">
        <f t="shared" si="6"/>
        <v>0.24111748092531834</v>
      </c>
      <c r="H7" s="5">
        <f t="shared" ref="H7:H14" si="9">(D7-T7*F7)/B7</f>
        <v>4.8476103925005995E-2</v>
      </c>
      <c r="I7" s="5">
        <f t="shared" si="7"/>
        <v>2.8124177987508762E-2</v>
      </c>
      <c r="J7" s="5"/>
      <c r="K7" s="5"/>
      <c r="L7" s="5"/>
      <c r="M7" s="5">
        <f t="shared" si="1"/>
        <v>0.28959358485032433</v>
      </c>
      <c r="N7" s="5">
        <f t="shared" si="2"/>
        <v>2.8124177987508762E-2</v>
      </c>
      <c r="O7" s="5"/>
      <c r="P7" s="5"/>
      <c r="Q7" s="5">
        <f t="shared" si="8"/>
        <v>0.26924165891282709</v>
      </c>
      <c r="R7" s="5">
        <f t="shared" si="3"/>
        <v>0.3177177628378331</v>
      </c>
      <c r="S7" s="9">
        <v>1</v>
      </c>
      <c r="T7" s="9">
        <f t="shared" si="4"/>
        <v>0</v>
      </c>
    </row>
    <row r="8" spans="1:24" ht="12.95" x14ac:dyDescent="0.3">
      <c r="A8" s="2">
        <v>2009</v>
      </c>
      <c r="B8" s="1">
        <v>17733070033</v>
      </c>
      <c r="C8" s="1">
        <v>4931904338</v>
      </c>
      <c r="D8" s="1">
        <v>764804515</v>
      </c>
      <c r="E8" s="1">
        <f>D8+C8</f>
        <v>5696708853</v>
      </c>
      <c r="F8" s="1">
        <v>589794350</v>
      </c>
      <c r="G8" s="5">
        <f t="shared" si="6"/>
        <v>0.24485946200627628</v>
      </c>
      <c r="H8" s="5">
        <f t="shared" si="9"/>
        <v>4.3128714519073824E-2</v>
      </c>
      <c r="I8" s="5">
        <f t="shared" si="7"/>
        <v>3.3259573717491338E-2</v>
      </c>
      <c r="J8" s="5"/>
      <c r="K8" s="5"/>
      <c r="L8" s="5"/>
      <c r="M8" s="5">
        <f t="shared" si="1"/>
        <v>0.28798817652535008</v>
      </c>
      <c r="N8" s="5">
        <f t="shared" si="2"/>
        <v>3.3259573717491338E-2</v>
      </c>
      <c r="O8" s="5"/>
      <c r="P8" s="5"/>
      <c r="Q8" s="5">
        <f t="shared" si="8"/>
        <v>0.27811903572376762</v>
      </c>
      <c r="R8" s="5">
        <f t="shared" si="3"/>
        <v>0.32124775024284141</v>
      </c>
      <c r="S8" s="10">
        <v>1</v>
      </c>
      <c r="T8" s="9">
        <f t="shared" si="4"/>
        <v>0</v>
      </c>
    </row>
    <row r="9" spans="1:24" ht="12.95" x14ac:dyDescent="0.3">
      <c r="A9" s="2">
        <f>1+A8</f>
        <v>2010</v>
      </c>
      <c r="B9" s="1">
        <v>20887172493</v>
      </c>
      <c r="C9" s="1">
        <v>5731405228</v>
      </c>
      <c r="D9" s="1">
        <v>967380729</v>
      </c>
      <c r="E9" s="1">
        <f t="shared" ref="E9:E14" si="10">D9+C9</f>
        <v>6698785957</v>
      </c>
      <c r="F9" s="1">
        <v>693626428</v>
      </c>
      <c r="G9" s="5">
        <f t="shared" si="6"/>
        <v>0.24119007978166171</v>
      </c>
      <c r="H9" s="5">
        <f t="shared" si="9"/>
        <v>4.631458515144652E-2</v>
      </c>
      <c r="I9" s="5">
        <f t="shared" si="7"/>
        <v>3.3208249141067694E-2</v>
      </c>
      <c r="J9" s="5"/>
      <c r="K9" s="5"/>
      <c r="L9" s="5"/>
      <c r="M9" s="5">
        <f t="shared" si="1"/>
        <v>0.28750466493310822</v>
      </c>
      <c r="N9" s="5">
        <f t="shared" si="2"/>
        <v>3.3208249141067694E-2</v>
      </c>
      <c r="O9" s="5"/>
      <c r="P9" s="5"/>
      <c r="Q9" s="5">
        <f t="shared" si="8"/>
        <v>0.27439832892272942</v>
      </c>
      <c r="R9" s="5">
        <f t="shared" si="3"/>
        <v>0.3207129140741759</v>
      </c>
      <c r="S9" s="10">
        <v>1</v>
      </c>
      <c r="T9" s="9">
        <f t="shared" si="4"/>
        <v>0</v>
      </c>
    </row>
    <row r="10" spans="1:24" ht="12.95" x14ac:dyDescent="0.3">
      <c r="A10" s="2">
        <f t="shared" ref="A10:A14" si="11">1+A9</f>
        <v>2011</v>
      </c>
      <c r="B10" s="1">
        <v>23783231805</v>
      </c>
      <c r="C10" s="1">
        <v>6641209693</v>
      </c>
      <c r="D10" s="1">
        <v>938077503</v>
      </c>
      <c r="E10" s="1">
        <f t="shared" si="10"/>
        <v>7579287196</v>
      </c>
      <c r="F10" s="1">
        <v>785030520</v>
      </c>
      <c r="G10" s="5">
        <f t="shared" si="6"/>
        <v>0.24623142981639876</v>
      </c>
      <c r="H10" s="5">
        <f t="shared" si="9"/>
        <v>3.9442810409087717E-2</v>
      </c>
      <c r="I10" s="5">
        <f t="shared" si="7"/>
        <v>3.3007731095441847E-2</v>
      </c>
      <c r="J10" s="5"/>
      <c r="K10" s="5"/>
      <c r="L10" s="5"/>
      <c r="M10" s="5">
        <f t="shared" si="1"/>
        <v>0.28567424022548649</v>
      </c>
      <c r="N10" s="5">
        <f t="shared" si="2"/>
        <v>3.3007731095441847E-2</v>
      </c>
      <c r="O10" s="5"/>
      <c r="P10" s="5"/>
      <c r="Q10" s="5">
        <f t="shared" si="8"/>
        <v>0.27923916091184059</v>
      </c>
      <c r="R10" s="5">
        <f t="shared" si="3"/>
        <v>0.31868197132092829</v>
      </c>
      <c r="S10" s="10">
        <v>1</v>
      </c>
      <c r="T10" s="9">
        <f t="shared" si="4"/>
        <v>0</v>
      </c>
    </row>
    <row r="11" spans="1:24" ht="12.95" x14ac:dyDescent="0.3">
      <c r="A11" s="2">
        <f t="shared" si="11"/>
        <v>2012</v>
      </c>
      <c r="B11" s="1">
        <v>26648356908</v>
      </c>
      <c r="C11" s="1">
        <v>7459456898</v>
      </c>
      <c r="D11" s="1">
        <v>855703932</v>
      </c>
      <c r="E11" s="1">
        <f t="shared" si="10"/>
        <v>8315160830</v>
      </c>
      <c r="F11" s="1">
        <v>942529533.48000002</v>
      </c>
      <c r="G11" s="5">
        <f t="shared" si="6"/>
        <v>0.24455268994703305</v>
      </c>
      <c r="H11" s="5">
        <f t="shared" si="9"/>
        <v>3.2110945337238128E-2</v>
      </c>
      <c r="I11" s="5">
        <f t="shared" si="7"/>
        <v>3.536914252289404E-2</v>
      </c>
      <c r="J11" s="5"/>
      <c r="K11" s="5"/>
      <c r="L11" s="5"/>
      <c r="M11" s="5">
        <f t="shared" si="1"/>
        <v>0.27666363528427118</v>
      </c>
      <c r="N11" s="5">
        <f t="shared" si="2"/>
        <v>3.536914252289404E-2</v>
      </c>
      <c r="O11" s="5"/>
      <c r="P11" s="5"/>
      <c r="Q11" s="5">
        <f t="shared" si="8"/>
        <v>0.27992183246992708</v>
      </c>
      <c r="R11" s="5">
        <f t="shared" si="3"/>
        <v>0.31203277780716521</v>
      </c>
      <c r="S11" s="10">
        <v>1</v>
      </c>
      <c r="T11" s="9">
        <f t="shared" si="4"/>
        <v>0</v>
      </c>
    </row>
    <row r="12" spans="1:24" ht="12.95" x14ac:dyDescent="0.3">
      <c r="A12" s="2">
        <f t="shared" si="11"/>
        <v>2013</v>
      </c>
      <c r="B12" s="1">
        <v>28463801898</v>
      </c>
      <c r="C12" s="1">
        <v>8064074408</v>
      </c>
      <c r="D12" s="1">
        <v>926063773</v>
      </c>
      <c r="E12" s="1">
        <f t="shared" si="10"/>
        <v>8990138181</v>
      </c>
      <c r="F12" s="1">
        <v>1330477160.0999999</v>
      </c>
      <c r="G12" s="5">
        <f>(C12-F12*S12)/B12</f>
        <v>0.23656703598591072</v>
      </c>
      <c r="H12" s="5">
        <f t="shared" si="9"/>
        <v>3.2534788441774168E-2</v>
      </c>
      <c r="I12" s="5">
        <f t="shared" si="7"/>
        <v>4.6742777541375645E-2</v>
      </c>
      <c r="J12" s="5"/>
      <c r="K12" s="5"/>
      <c r="L12" s="5"/>
      <c r="M12" s="5">
        <f t="shared" si="1"/>
        <v>0.26910182442768488</v>
      </c>
      <c r="N12" s="5">
        <f t="shared" si="2"/>
        <v>4.6742777541375645E-2</v>
      </c>
      <c r="O12" s="5"/>
      <c r="P12" s="5"/>
      <c r="Q12" s="5">
        <f t="shared" si="8"/>
        <v>0.2833098135272864</v>
      </c>
      <c r="R12" s="5">
        <f t="shared" si="3"/>
        <v>0.31584460196906056</v>
      </c>
      <c r="S12" s="10">
        <v>1</v>
      </c>
      <c r="T12" s="9">
        <f t="shared" si="4"/>
        <v>0</v>
      </c>
    </row>
    <row r="13" spans="1:24" ht="12.95" x14ac:dyDescent="0.3">
      <c r="A13" s="2">
        <f t="shared" si="11"/>
        <v>2014</v>
      </c>
      <c r="B13" s="1">
        <v>30608169934</v>
      </c>
      <c r="C13" s="1">
        <f>9045614569</f>
        <v>9045614569</v>
      </c>
      <c r="D13" s="1">
        <f>1299403669</f>
        <v>1299403669</v>
      </c>
      <c r="E13" s="1">
        <f t="shared" si="10"/>
        <v>10345018238</v>
      </c>
      <c r="F13" s="1">
        <v>1391749827.79</v>
      </c>
      <c r="G13" s="5">
        <f>(C13-F13*S13)/B13</f>
        <v>0.25915351110086399</v>
      </c>
      <c r="H13" s="5">
        <f>(D13-T13*F13)/B13</f>
        <v>3.3358861560285537E-2</v>
      </c>
      <c r="I13" s="5">
        <f t="shared" si="7"/>
        <v>4.5469880453193119E-2</v>
      </c>
      <c r="J13" s="5"/>
      <c r="K13" s="5"/>
      <c r="L13" s="5"/>
      <c r="M13" s="5">
        <f t="shared" si="1"/>
        <v>0.29251237266114949</v>
      </c>
      <c r="N13" s="5">
        <f t="shared" si="2"/>
        <v>4.5469880453193119E-2</v>
      </c>
      <c r="O13" s="5"/>
      <c r="P13" s="5"/>
      <c r="Q13" s="5">
        <f t="shared" si="8"/>
        <v>0.29552941546341849</v>
      </c>
      <c r="R13" s="5">
        <f>E13/B13</f>
        <v>0.33798225311434266</v>
      </c>
      <c r="S13" s="10">
        <v>0.8</v>
      </c>
      <c r="T13" s="9">
        <f t="shared" si="4"/>
        <v>0.19999999999999996</v>
      </c>
      <c r="U13" t="s">
        <v>8</v>
      </c>
    </row>
    <row r="14" spans="1:24" ht="12.95" x14ac:dyDescent="0.3">
      <c r="A14" s="2">
        <f t="shared" si="11"/>
        <v>2015</v>
      </c>
      <c r="B14" s="1">
        <v>33101361337</v>
      </c>
      <c r="C14" s="1">
        <f>(10948928662-1452388018)</f>
        <v>9496540644</v>
      </c>
      <c r="D14" s="1">
        <f>1977765909</f>
        <v>1977765909</v>
      </c>
      <c r="E14" s="1">
        <f t="shared" si="10"/>
        <v>11474306553</v>
      </c>
      <c r="F14" s="1">
        <v>1203335551.5699999</v>
      </c>
      <c r="G14" s="5">
        <f>(C14-F14*S14)/B14</f>
        <v>0.26508091989709215</v>
      </c>
      <c r="H14" s="5">
        <f t="shared" si="9"/>
        <v>4.5207557270441331E-2</v>
      </c>
      <c r="I14" s="5">
        <f t="shared" si="7"/>
        <v>3.6353053257206586E-2</v>
      </c>
      <c r="J14" s="5"/>
      <c r="K14" s="5"/>
      <c r="L14" s="5"/>
      <c r="M14" s="5">
        <f>(E14-F14)/B14</f>
        <v>0.31028847716753349</v>
      </c>
      <c r="N14" s="5">
        <f t="shared" si="2"/>
        <v>3.6353053257206586E-2</v>
      </c>
      <c r="O14" s="5"/>
      <c r="P14" s="5"/>
      <c r="Q14" s="5">
        <f t="shared" si="8"/>
        <v>0.28689275185141611</v>
      </c>
      <c r="R14" s="5">
        <f t="shared" si="3"/>
        <v>0.34664153042474005</v>
      </c>
      <c r="S14" s="10">
        <v>0.6</v>
      </c>
      <c r="T14" s="9">
        <f t="shared" si="4"/>
        <v>0.4</v>
      </c>
    </row>
    <row r="15" spans="1:24" ht="12.95" x14ac:dyDescent="0.3">
      <c r="A15" s="2">
        <v>2016</v>
      </c>
      <c r="B15" s="1">
        <v>33729045773</v>
      </c>
      <c r="C15" s="1">
        <f>9680109301</f>
        <v>9680109301</v>
      </c>
      <c r="D15" s="1">
        <f>1716817246-441291814+F15*T15</f>
        <v>2204560830</v>
      </c>
      <c r="E15" s="1">
        <f>D15+C15</f>
        <v>11884670131</v>
      </c>
      <c r="F15" s="1">
        <f>929035398/0.6</f>
        <v>1548392330</v>
      </c>
      <c r="G15" s="5">
        <f>(C15-F15*S15)/B15</f>
        <v>0.26863352227572074</v>
      </c>
      <c r="H15" s="5">
        <f>(D15-T15*F15)/B15</f>
        <v>3.7816825313838384E-2</v>
      </c>
      <c r="I15" s="5">
        <f t="shared" si="7"/>
        <v>4.5906793225662004E-2</v>
      </c>
      <c r="J15" s="5"/>
      <c r="K15" s="5"/>
      <c r="L15" s="5"/>
      <c r="M15" s="5">
        <f>(E15-F15)/B15</f>
        <v>0.30645034758955914</v>
      </c>
      <c r="N15" s="5">
        <f>F15/B15</f>
        <v>4.5906793225662004E-2</v>
      </c>
      <c r="O15" s="5"/>
      <c r="P15" s="5"/>
      <c r="Q15" s="5">
        <f t="shared" si="8"/>
        <v>0.28699623956598552</v>
      </c>
      <c r="R15" s="5">
        <f t="shared" si="3"/>
        <v>0.35235714081522113</v>
      </c>
      <c r="S15" s="10">
        <v>0.4</v>
      </c>
      <c r="T15" s="9">
        <f t="shared" si="4"/>
        <v>0.6</v>
      </c>
    </row>
    <row r="16" spans="1:24" ht="12.95" x14ac:dyDescent="0.3">
      <c r="A16" s="2" t="s">
        <v>19</v>
      </c>
      <c r="B16" s="1">
        <f>B57-B56+B58</f>
        <v>34609487004.010002</v>
      </c>
      <c r="C16" s="1">
        <f>C57-C56+C58</f>
        <v>9399506487.3299999</v>
      </c>
      <c r="D16" s="1">
        <f>D57-D56+D58</f>
        <v>1947238851.5600002</v>
      </c>
      <c r="E16" s="1">
        <f>E15-E56+E58</f>
        <v>11813012222.950001</v>
      </c>
      <c r="F16" s="1"/>
      <c r="G16" s="1"/>
      <c r="H16" s="5"/>
      <c r="I16" s="12"/>
      <c r="J16" s="8">
        <f>E16/B16</f>
        <v>0.34132295059968082</v>
      </c>
      <c r="K16" s="12"/>
      <c r="L16" s="12"/>
      <c r="M16" s="1"/>
      <c r="N16" s="1"/>
      <c r="O16" s="5">
        <f>J16</f>
        <v>0.34132295059968082</v>
      </c>
      <c r="P16" s="1"/>
      <c r="Q16" s="5">
        <f t="shared" si="8"/>
        <v>0.2715875703745893</v>
      </c>
      <c r="R16" s="5">
        <f t="shared" si="3"/>
        <v>0.34132295059968082</v>
      </c>
      <c r="S16" s="10">
        <v>0.2</v>
      </c>
      <c r="T16" s="9">
        <f t="shared" si="4"/>
        <v>0.8</v>
      </c>
    </row>
    <row r="17" spans="1:20" ht="12.95" x14ac:dyDescent="0.3">
      <c r="A17" s="2">
        <v>2018</v>
      </c>
      <c r="B17" s="1"/>
      <c r="C17" s="1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0">
        <v>0</v>
      </c>
      <c r="T17" s="9">
        <f t="shared" si="4"/>
        <v>1</v>
      </c>
    </row>
    <row r="18" spans="1:20" ht="12.95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0"/>
      <c r="T18" s="9"/>
    </row>
    <row r="19" spans="1:20" ht="12.95" x14ac:dyDescent="0.3">
      <c r="A19" s="3"/>
      <c r="B19" s="13"/>
      <c r="C19" s="13"/>
      <c r="D19" s="13"/>
      <c r="E19" s="1"/>
      <c r="J19" s="5"/>
    </row>
    <row r="56" spans="1:14" x14ac:dyDescent="0.2">
      <c r="A56" s="15">
        <v>42522</v>
      </c>
      <c r="B56" s="1">
        <v>18202316341.32</v>
      </c>
      <c r="C56" s="1">
        <v>6210481679.9799995</v>
      </c>
      <c r="D56" s="1">
        <v>1194425042.0699999</v>
      </c>
      <c r="E56" s="1">
        <f>D56+C56</f>
        <v>7404906722.0499992</v>
      </c>
      <c r="J56" s="8">
        <f>E56/B56</f>
        <v>0.40681123122998136</v>
      </c>
      <c r="L56" s="16">
        <f>C56/B56</f>
        <v>0.34119183314499119</v>
      </c>
      <c r="M56" s="8">
        <f>D56/B56</f>
        <v>6.5619398084990233E-2</v>
      </c>
      <c r="N56" s="14">
        <f t="shared" ref="N56:N58" si="12">L56+M56</f>
        <v>0.40681123122998142</v>
      </c>
    </row>
    <row r="57" spans="1:14" x14ac:dyDescent="0.2">
      <c r="A57" s="2">
        <v>2016</v>
      </c>
      <c r="B57" s="1">
        <v>33729013538.330002</v>
      </c>
      <c r="C57" s="1">
        <v>9635769469.3099995</v>
      </c>
      <c r="D57" s="1">
        <v>1782633777.6300001</v>
      </c>
      <c r="E57" s="1">
        <f t="shared" ref="E57" si="13">D57+C57</f>
        <v>11418403246.939999</v>
      </c>
      <c r="F57" s="11">
        <f>F15</f>
        <v>1548392330</v>
      </c>
      <c r="G57" s="8">
        <f>(C57-0.4*F57)/B57</f>
        <v>0.2673191887768569</v>
      </c>
      <c r="H57" s="8"/>
      <c r="I57" s="8">
        <f>F57/B57</f>
        <v>4.5906837098582523E-2</v>
      </c>
      <c r="J57" s="8">
        <f t="shared" ref="J57" si="14">E57/B57</f>
        <v>0.33853356647872335</v>
      </c>
      <c r="L57" s="16">
        <f t="shared" ref="L57:L58" si="15">C57/B57</f>
        <v>0.28568192361628991</v>
      </c>
      <c r="M57" s="8">
        <f t="shared" ref="M57:M58" si="16">D57/B57</f>
        <v>5.2851642862433455E-2</v>
      </c>
      <c r="N57" s="14">
        <f t="shared" si="12"/>
        <v>0.33853356647872335</v>
      </c>
    </row>
    <row r="58" spans="1:14" x14ac:dyDescent="0.2">
      <c r="A58" s="15">
        <v>42887</v>
      </c>
      <c r="B58" s="1">
        <v>19082789807</v>
      </c>
      <c r="C58" s="1">
        <v>5974218698</v>
      </c>
      <c r="D58" s="1">
        <v>1359030116</v>
      </c>
      <c r="E58" s="1">
        <f>C58+D58</f>
        <v>7333248814</v>
      </c>
      <c r="F58" s="11">
        <f>832032299/0.8</f>
        <v>1040040373.75</v>
      </c>
      <c r="G58" s="8">
        <f>(C58-0.2*F58)/B58</f>
        <v>0.30216811491236062</v>
      </c>
      <c r="H58" s="8">
        <f>(D58-0.8*F58)/B58</f>
        <v>2.7616392693624141E-2</v>
      </c>
      <c r="I58" s="8">
        <f>F58/B58</f>
        <v>5.4501484545435262E-2</v>
      </c>
      <c r="J58" s="8">
        <f>E58/B58</f>
        <v>0.38428599215142001</v>
      </c>
      <c r="L58" s="16">
        <f t="shared" si="15"/>
        <v>0.31306841182144768</v>
      </c>
      <c r="M58" s="8">
        <f t="shared" si="16"/>
        <v>7.1217580329972344E-2</v>
      </c>
      <c r="N58" s="14">
        <f t="shared" si="12"/>
        <v>0.38428599215142001</v>
      </c>
    </row>
    <row r="59" spans="1:14" x14ac:dyDescent="0.2">
      <c r="C59" s="11"/>
      <c r="D59" s="11"/>
    </row>
    <row r="60" spans="1:14" x14ac:dyDescent="0.2">
      <c r="C60" s="1"/>
      <c r="D60" s="11"/>
    </row>
    <row r="62" spans="1:14" x14ac:dyDescent="0.2">
      <c r="B62" s="11"/>
      <c r="C62" s="13"/>
      <c r="D62" s="13"/>
      <c r="E62" s="11"/>
    </row>
    <row r="63" spans="1:14" x14ac:dyDescent="0.2">
      <c r="B63" s="8"/>
      <c r="E63" s="13"/>
    </row>
    <row r="64" spans="1:14" x14ac:dyDescent="0.2">
      <c r="C64" s="8"/>
      <c r="D64" s="8"/>
      <c r="E64" s="8"/>
    </row>
    <row r="65" spans="3:5" x14ac:dyDescent="0.2">
      <c r="C65" s="8"/>
      <c r="D65" s="8"/>
      <c r="E65" s="8"/>
    </row>
    <row r="66" spans="3:5" x14ac:dyDescent="0.2">
      <c r="C66" s="8"/>
      <c r="D66" s="8"/>
      <c r="E66" s="8"/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2"/>
  <sheetViews>
    <sheetView topLeftCell="A11" workbookViewId="0">
      <selection activeCell="A16" sqref="A16"/>
    </sheetView>
  </sheetViews>
  <sheetFormatPr defaultRowHeight="12.75" x14ac:dyDescent="0.2"/>
  <cols>
    <col min="1" max="1" width="9.5703125" bestFit="1" customWidth="1"/>
    <col min="2" max="3" width="17.7109375" bestFit="1" customWidth="1"/>
    <col min="4" max="4" width="19.85546875" bestFit="1" customWidth="1"/>
    <col min="5" max="5" width="17.7109375" bestFit="1" customWidth="1"/>
    <col min="6" max="6" width="16.5703125" bestFit="1" customWidth="1"/>
    <col min="7" max="7" width="15.85546875" bestFit="1" customWidth="1"/>
    <col min="8" max="8" width="6.28515625" bestFit="1" customWidth="1"/>
    <col min="9" max="9" width="9.140625" bestFit="1" customWidth="1"/>
    <col min="10" max="10" width="7.28515625" bestFit="1" customWidth="1"/>
    <col min="11" max="12" width="9.140625" customWidth="1"/>
    <col min="13" max="13" width="20" bestFit="1" customWidth="1"/>
    <col min="14" max="14" width="9.140625" bestFit="1" customWidth="1"/>
    <col min="15" max="16" width="9.140625" customWidth="1"/>
    <col min="17" max="17" width="23" customWidth="1"/>
    <col min="18" max="18" width="10.140625" customWidth="1"/>
  </cols>
  <sheetData>
    <row r="1" spans="1:24" x14ac:dyDescent="0.2">
      <c r="B1" s="3" t="s">
        <v>0</v>
      </c>
      <c r="C1" s="3" t="s">
        <v>5</v>
      </c>
      <c r="D1" s="4" t="s">
        <v>6</v>
      </c>
      <c r="E1" s="4" t="s">
        <v>10</v>
      </c>
      <c r="F1" s="4" t="s">
        <v>7</v>
      </c>
      <c r="G1" s="4" t="s">
        <v>11</v>
      </c>
      <c r="H1" s="4" t="s">
        <v>13</v>
      </c>
      <c r="I1" s="4" t="s">
        <v>16</v>
      </c>
      <c r="J1" s="4" t="s">
        <v>17</v>
      </c>
      <c r="K1" s="4"/>
      <c r="L1" s="4"/>
      <c r="M1" s="4" t="s">
        <v>15</v>
      </c>
      <c r="N1" s="4" t="s">
        <v>16</v>
      </c>
      <c r="O1" s="4" t="s">
        <v>17</v>
      </c>
      <c r="P1" s="4"/>
      <c r="Q1" s="4" t="s">
        <v>12</v>
      </c>
      <c r="R1" s="4" t="s">
        <v>10</v>
      </c>
      <c r="S1" s="3" t="s">
        <v>14</v>
      </c>
      <c r="T1" t="s">
        <v>13</v>
      </c>
      <c r="W1" t="s">
        <v>2</v>
      </c>
      <c r="X1" t="s">
        <v>1</v>
      </c>
    </row>
    <row r="2" spans="1:24" ht="12.95" x14ac:dyDescent="0.3">
      <c r="A2" s="2">
        <v>2003</v>
      </c>
      <c r="B2" s="1">
        <v>8490818423</v>
      </c>
      <c r="C2" s="1"/>
      <c r="D2" s="1"/>
      <c r="E2" s="1">
        <v>2781571754</v>
      </c>
      <c r="F2" s="1">
        <v>556456356</v>
      </c>
      <c r="G2" s="5"/>
      <c r="H2" s="5"/>
      <c r="I2" s="5"/>
      <c r="J2" s="5">
        <f>E2/B2</f>
        <v>0.32759760195380638</v>
      </c>
      <c r="K2" s="5"/>
      <c r="L2" s="5"/>
      <c r="M2" s="5">
        <f>(E2-F2)/B2</f>
        <v>0.26206135700330002</v>
      </c>
      <c r="N2" s="5">
        <f>F2/B2</f>
        <v>6.5536244950506348E-2</v>
      </c>
      <c r="O2" s="5"/>
      <c r="P2" s="5"/>
      <c r="Q2" s="8"/>
      <c r="R2" s="5">
        <f>E2/B2</f>
        <v>0.32759760195380638</v>
      </c>
      <c r="S2" s="9">
        <v>1</v>
      </c>
      <c r="T2" s="9">
        <f>100%-S2</f>
        <v>0</v>
      </c>
      <c r="W2" t="s">
        <v>3</v>
      </c>
      <c r="X2" t="s">
        <v>4</v>
      </c>
    </row>
    <row r="3" spans="1:24" ht="12.95" x14ac:dyDescent="0.3">
      <c r="A3" s="2">
        <v>2004</v>
      </c>
      <c r="B3" s="1">
        <v>9647894056</v>
      </c>
      <c r="C3" s="1"/>
      <c r="D3" s="1"/>
      <c r="E3" s="1">
        <v>3011647454</v>
      </c>
      <c r="F3" s="1">
        <v>651409136</v>
      </c>
      <c r="G3" s="5"/>
      <c r="H3" s="5"/>
      <c r="I3" s="5"/>
      <c r="J3" s="5">
        <f t="shared" ref="J3:J4" si="0">E3/B3</f>
        <v>0.31215594165102428</v>
      </c>
      <c r="K3" s="5"/>
      <c r="L3" s="5"/>
      <c r="M3" s="5">
        <f t="shared" ref="M3:M13" si="1">(E3-F3)/B3</f>
        <v>0.24463766955775951</v>
      </c>
      <c r="N3" s="5">
        <f t="shared" ref="N3:N15" si="2">F3/B3</f>
        <v>6.7518272093264789E-2</v>
      </c>
      <c r="O3" s="5"/>
      <c r="P3" s="5"/>
      <c r="Q3" s="8"/>
      <c r="R3" s="5">
        <f t="shared" ref="R3:R16" si="3">E3/B3</f>
        <v>0.31215594165102428</v>
      </c>
      <c r="S3" s="9">
        <v>1</v>
      </c>
      <c r="T3" s="9">
        <f t="shared" ref="T3:T17" si="4">100%-S3</f>
        <v>0</v>
      </c>
      <c r="W3" t="s">
        <v>18</v>
      </c>
    </row>
    <row r="4" spans="1:24" ht="12.95" x14ac:dyDescent="0.3">
      <c r="A4" s="2">
        <v>2005</v>
      </c>
      <c r="B4" s="1">
        <v>10967300316</v>
      </c>
      <c r="C4" s="1"/>
      <c r="D4" s="1"/>
      <c r="E4" s="1">
        <v>3627475354</v>
      </c>
      <c r="F4" s="1">
        <v>565616292</v>
      </c>
      <c r="G4" s="5"/>
      <c r="H4" s="5"/>
      <c r="I4" s="5"/>
      <c r="J4" s="5">
        <f t="shared" si="0"/>
        <v>0.33075371782314927</v>
      </c>
      <c r="K4" s="5"/>
      <c r="L4" s="5"/>
      <c r="M4" s="5">
        <f t="shared" si="1"/>
        <v>0.27918074400981874</v>
      </c>
      <c r="N4" s="5">
        <f t="shared" si="2"/>
        <v>5.1572973813330564E-2</v>
      </c>
      <c r="O4" s="5"/>
      <c r="P4" s="5"/>
      <c r="Q4" s="8"/>
      <c r="R4" s="5">
        <f t="shared" si="3"/>
        <v>0.33075371782314927</v>
      </c>
      <c r="S4" s="9">
        <v>1</v>
      </c>
      <c r="T4" s="9">
        <f t="shared" si="4"/>
        <v>0</v>
      </c>
    </row>
    <row r="5" spans="1:24" ht="12.95" x14ac:dyDescent="0.3">
      <c r="A5" s="2">
        <v>2006</v>
      </c>
      <c r="B5" s="1">
        <v>13105997360</v>
      </c>
      <c r="C5" s="11"/>
      <c r="D5" s="1"/>
      <c r="E5" s="1">
        <v>4171430422</v>
      </c>
      <c r="F5" s="1">
        <v>353064121</v>
      </c>
      <c r="G5" s="5"/>
      <c r="H5" s="5"/>
      <c r="I5" s="5"/>
      <c r="J5" s="5">
        <f>E5/B5</f>
        <v>0.31828408837707867</v>
      </c>
      <c r="K5" s="5"/>
      <c r="L5" s="5"/>
      <c r="M5" s="5">
        <f t="shared" si="1"/>
        <v>0.29134496186103304</v>
      </c>
      <c r="N5" s="5">
        <f t="shared" si="2"/>
        <v>2.6939126516045627E-2</v>
      </c>
      <c r="O5" s="5"/>
      <c r="P5" s="5"/>
      <c r="Q5" s="8"/>
      <c r="R5" s="5">
        <f t="shared" si="3"/>
        <v>0.31828408837707867</v>
      </c>
      <c r="S5" s="9">
        <v>1</v>
      </c>
      <c r="T5" s="9">
        <f t="shared" si="4"/>
        <v>0</v>
      </c>
    </row>
    <row r="6" spans="1:24" ht="12.95" x14ac:dyDescent="0.3">
      <c r="A6" s="2">
        <v>2007</v>
      </c>
      <c r="B6" s="1">
        <v>14869730145</v>
      </c>
      <c r="C6" s="1">
        <v>3945634536</v>
      </c>
      <c r="D6" s="1">
        <v>845778246</v>
      </c>
      <c r="E6" s="1">
        <f t="shared" ref="E6:E7" si="5">D6+C6</f>
        <v>4791412782</v>
      </c>
      <c r="F6" s="1">
        <v>443442658</v>
      </c>
      <c r="G6" s="5">
        <f t="shared" ref="G6:G12" si="6">(C6-F6*S6)/B6</f>
        <v>0.23552491160558314</v>
      </c>
      <c r="H6" s="5">
        <f>(D6-T6*F6)/B6</f>
        <v>5.6879192678852747E-2</v>
      </c>
      <c r="I6" s="5">
        <f t="shared" ref="I6:I15" si="7">F6/B6</f>
        <v>2.9821836285920035E-2</v>
      </c>
      <c r="J6" s="5"/>
      <c r="K6" s="5"/>
      <c r="L6" s="5"/>
      <c r="M6" s="5">
        <f t="shared" si="1"/>
        <v>0.29240410428443586</v>
      </c>
      <c r="N6" s="5">
        <f t="shared" si="2"/>
        <v>2.9821836285920035E-2</v>
      </c>
      <c r="O6" s="5"/>
      <c r="P6" s="5"/>
      <c r="Q6" s="5">
        <f t="shared" ref="Q6:Q15" si="8">C6/B6</f>
        <v>0.2653467478915032</v>
      </c>
      <c r="R6" s="5">
        <f t="shared" si="3"/>
        <v>0.32222594057035592</v>
      </c>
      <c r="S6" s="9">
        <v>1</v>
      </c>
      <c r="T6" s="9">
        <f t="shared" si="4"/>
        <v>0</v>
      </c>
    </row>
    <row r="7" spans="1:24" ht="12.95" x14ac:dyDescent="0.3">
      <c r="A7" s="2">
        <v>2008</v>
      </c>
      <c r="B7" s="1">
        <v>16831762166</v>
      </c>
      <c r="C7" s="1">
        <v>4531811568</v>
      </c>
      <c r="D7" s="1">
        <v>815938252</v>
      </c>
      <c r="E7" s="1">
        <f t="shared" si="5"/>
        <v>5347749820</v>
      </c>
      <c r="F7" s="1">
        <v>473379475</v>
      </c>
      <c r="G7" s="5">
        <f t="shared" si="6"/>
        <v>0.24111748092531834</v>
      </c>
      <c r="H7" s="5">
        <f t="shared" ref="H7:H14" si="9">(D7-T7*F7)/B7</f>
        <v>4.8476103925005995E-2</v>
      </c>
      <c r="I7" s="5">
        <f t="shared" si="7"/>
        <v>2.8124177987508762E-2</v>
      </c>
      <c r="J7" s="5"/>
      <c r="K7" s="5"/>
      <c r="L7" s="5"/>
      <c r="M7" s="5">
        <f t="shared" si="1"/>
        <v>0.28959358485032433</v>
      </c>
      <c r="N7" s="5">
        <f t="shared" si="2"/>
        <v>2.8124177987508762E-2</v>
      </c>
      <c r="O7" s="5"/>
      <c r="P7" s="5"/>
      <c r="Q7" s="5">
        <f t="shared" si="8"/>
        <v>0.26924165891282709</v>
      </c>
      <c r="R7" s="5">
        <f t="shared" si="3"/>
        <v>0.3177177628378331</v>
      </c>
      <c r="S7" s="9">
        <v>1</v>
      </c>
      <c r="T7" s="9">
        <f t="shared" si="4"/>
        <v>0</v>
      </c>
    </row>
    <row r="8" spans="1:24" ht="12.95" x14ac:dyDescent="0.3">
      <c r="A8" s="2">
        <v>2009</v>
      </c>
      <c r="B8" s="1">
        <v>17733070033</v>
      </c>
      <c r="C8" s="1">
        <v>4931904338</v>
      </c>
      <c r="D8" s="1">
        <v>764804515</v>
      </c>
      <c r="E8" s="1">
        <f>D8+C8</f>
        <v>5696708853</v>
      </c>
      <c r="F8" s="1">
        <v>589794350</v>
      </c>
      <c r="G8" s="5">
        <f t="shared" si="6"/>
        <v>0.24485946200627628</v>
      </c>
      <c r="H8" s="5">
        <f t="shared" si="9"/>
        <v>4.3128714519073824E-2</v>
      </c>
      <c r="I8" s="5">
        <f t="shared" si="7"/>
        <v>3.3259573717491338E-2</v>
      </c>
      <c r="J8" s="5"/>
      <c r="K8" s="5"/>
      <c r="L8" s="5"/>
      <c r="M8" s="5">
        <f t="shared" si="1"/>
        <v>0.28798817652535008</v>
      </c>
      <c r="N8" s="5">
        <f t="shared" si="2"/>
        <v>3.3259573717491338E-2</v>
      </c>
      <c r="O8" s="5"/>
      <c r="P8" s="5"/>
      <c r="Q8" s="5">
        <f t="shared" si="8"/>
        <v>0.27811903572376762</v>
      </c>
      <c r="R8" s="5">
        <f t="shared" si="3"/>
        <v>0.32124775024284141</v>
      </c>
      <c r="S8" s="10">
        <v>1</v>
      </c>
      <c r="T8" s="9">
        <f t="shared" si="4"/>
        <v>0</v>
      </c>
    </row>
    <row r="9" spans="1:24" ht="12.95" x14ac:dyDescent="0.3">
      <c r="A9" s="2">
        <f>1+A8</f>
        <v>2010</v>
      </c>
      <c r="B9" s="1">
        <v>20887172493</v>
      </c>
      <c r="C9" s="1">
        <v>5731405228</v>
      </c>
      <c r="D9" s="1">
        <v>967380729</v>
      </c>
      <c r="E9" s="1">
        <f t="shared" ref="E9:E14" si="10">D9+C9</f>
        <v>6698785957</v>
      </c>
      <c r="F9" s="1">
        <v>693626428</v>
      </c>
      <c r="G9" s="5">
        <f t="shared" si="6"/>
        <v>0.24119007978166171</v>
      </c>
      <c r="H9" s="5">
        <f t="shared" si="9"/>
        <v>4.631458515144652E-2</v>
      </c>
      <c r="I9" s="5">
        <f t="shared" si="7"/>
        <v>3.3208249141067694E-2</v>
      </c>
      <c r="J9" s="5"/>
      <c r="K9" s="5"/>
      <c r="L9" s="5"/>
      <c r="M9" s="5">
        <f t="shared" si="1"/>
        <v>0.28750466493310822</v>
      </c>
      <c r="N9" s="5">
        <f t="shared" si="2"/>
        <v>3.3208249141067694E-2</v>
      </c>
      <c r="O9" s="5"/>
      <c r="P9" s="5"/>
      <c r="Q9" s="5">
        <f t="shared" si="8"/>
        <v>0.27439832892272942</v>
      </c>
      <c r="R9" s="5">
        <f t="shared" si="3"/>
        <v>0.3207129140741759</v>
      </c>
      <c r="S9" s="10">
        <v>1</v>
      </c>
      <c r="T9" s="9">
        <f t="shared" si="4"/>
        <v>0</v>
      </c>
    </row>
    <row r="10" spans="1:24" ht="12.95" x14ac:dyDescent="0.3">
      <c r="A10" s="2">
        <f t="shared" ref="A10:A14" si="11">1+A9</f>
        <v>2011</v>
      </c>
      <c r="B10" s="1">
        <v>23783231805</v>
      </c>
      <c r="C10" s="1">
        <v>6641209693</v>
      </c>
      <c r="D10" s="1">
        <v>938077503</v>
      </c>
      <c r="E10" s="1">
        <f t="shared" si="10"/>
        <v>7579287196</v>
      </c>
      <c r="F10" s="1">
        <v>785030520</v>
      </c>
      <c r="G10" s="5">
        <f t="shared" si="6"/>
        <v>0.24623142981639876</v>
      </c>
      <c r="H10" s="5">
        <f t="shared" si="9"/>
        <v>3.9442810409087717E-2</v>
      </c>
      <c r="I10" s="5">
        <f t="shared" si="7"/>
        <v>3.3007731095441847E-2</v>
      </c>
      <c r="J10" s="5"/>
      <c r="K10" s="5"/>
      <c r="L10" s="5"/>
      <c r="M10" s="5">
        <f t="shared" si="1"/>
        <v>0.28567424022548649</v>
      </c>
      <c r="N10" s="5">
        <f t="shared" si="2"/>
        <v>3.3007731095441847E-2</v>
      </c>
      <c r="O10" s="5"/>
      <c r="P10" s="5"/>
      <c r="Q10" s="5">
        <f t="shared" si="8"/>
        <v>0.27923916091184059</v>
      </c>
      <c r="R10" s="5">
        <f t="shared" si="3"/>
        <v>0.31868197132092829</v>
      </c>
      <c r="S10" s="10">
        <v>1</v>
      </c>
      <c r="T10" s="9">
        <f t="shared" si="4"/>
        <v>0</v>
      </c>
    </row>
    <row r="11" spans="1:24" ht="12.95" x14ac:dyDescent="0.3">
      <c r="A11" s="2">
        <f t="shared" si="11"/>
        <v>2012</v>
      </c>
      <c r="B11" s="1">
        <v>26648356908</v>
      </c>
      <c r="C11" s="1">
        <v>7459456898</v>
      </c>
      <c r="D11" s="1">
        <v>855703932</v>
      </c>
      <c r="E11" s="1">
        <f t="shared" si="10"/>
        <v>8315160830</v>
      </c>
      <c r="F11" s="1">
        <v>942529533.48000002</v>
      </c>
      <c r="G11" s="5">
        <f t="shared" si="6"/>
        <v>0.24455268994703305</v>
      </c>
      <c r="H11" s="5">
        <f t="shared" si="9"/>
        <v>3.2110945337238128E-2</v>
      </c>
      <c r="I11" s="5">
        <f t="shared" si="7"/>
        <v>3.536914252289404E-2</v>
      </c>
      <c r="J11" s="5"/>
      <c r="K11" s="5"/>
      <c r="L11" s="5"/>
      <c r="M11" s="5">
        <f t="shared" si="1"/>
        <v>0.27666363528427118</v>
      </c>
      <c r="N11" s="5">
        <f t="shared" si="2"/>
        <v>3.536914252289404E-2</v>
      </c>
      <c r="O11" s="5"/>
      <c r="P11" s="5"/>
      <c r="Q11" s="5">
        <f t="shared" si="8"/>
        <v>0.27992183246992708</v>
      </c>
      <c r="R11" s="5">
        <f t="shared" si="3"/>
        <v>0.31203277780716521</v>
      </c>
      <c r="S11" s="10">
        <v>1</v>
      </c>
      <c r="T11" s="9">
        <f t="shared" si="4"/>
        <v>0</v>
      </c>
    </row>
    <row r="12" spans="1:24" ht="12.95" x14ac:dyDescent="0.3">
      <c r="A12" s="2">
        <f t="shared" si="11"/>
        <v>2013</v>
      </c>
      <c r="B12" s="1">
        <v>28463801898</v>
      </c>
      <c r="C12" s="1">
        <v>8064074408</v>
      </c>
      <c r="D12" s="1">
        <v>926063773</v>
      </c>
      <c r="E12" s="1">
        <f t="shared" si="10"/>
        <v>8990138181</v>
      </c>
      <c r="F12" s="1">
        <v>1330477160.0999999</v>
      </c>
      <c r="G12" s="5">
        <f t="shared" si="6"/>
        <v>0.23656703598591072</v>
      </c>
      <c r="H12" s="5">
        <f t="shared" si="9"/>
        <v>3.2534788441774168E-2</v>
      </c>
      <c r="I12" s="5">
        <f t="shared" si="7"/>
        <v>4.6742777541375645E-2</v>
      </c>
      <c r="J12" s="5"/>
      <c r="K12" s="5"/>
      <c r="L12" s="5"/>
      <c r="M12" s="5">
        <f t="shared" si="1"/>
        <v>0.26910182442768488</v>
      </c>
      <c r="N12" s="5">
        <f t="shared" si="2"/>
        <v>4.6742777541375645E-2</v>
      </c>
      <c r="O12" s="5"/>
      <c r="P12" s="5"/>
      <c r="Q12" s="5">
        <f t="shared" si="8"/>
        <v>0.2833098135272864</v>
      </c>
      <c r="R12" s="5">
        <f t="shared" si="3"/>
        <v>0.31584460196906056</v>
      </c>
      <c r="S12" s="10">
        <v>1</v>
      </c>
      <c r="T12" s="9">
        <f t="shared" si="4"/>
        <v>0</v>
      </c>
    </row>
    <row r="13" spans="1:24" ht="12.95" x14ac:dyDescent="0.3">
      <c r="A13" s="2">
        <f t="shared" si="11"/>
        <v>2014</v>
      </c>
      <c r="B13" s="1">
        <v>30608169934</v>
      </c>
      <c r="C13" s="1">
        <v>9045614569</v>
      </c>
      <c r="D13" s="1">
        <v>1299403669</v>
      </c>
      <c r="E13" s="1">
        <f t="shared" si="10"/>
        <v>10345018238</v>
      </c>
      <c r="F13" s="1">
        <v>1391749827.79</v>
      </c>
      <c r="G13" s="5">
        <f>(C13-F13*S13)/B13</f>
        <v>0.25915351110086399</v>
      </c>
      <c r="H13" s="5">
        <f>(D13-T13*F13)/B13</f>
        <v>3.3358861560285537E-2</v>
      </c>
      <c r="I13" s="5">
        <f t="shared" si="7"/>
        <v>4.5469880453193119E-2</v>
      </c>
      <c r="J13" s="5"/>
      <c r="K13" s="5"/>
      <c r="L13" s="5"/>
      <c r="M13" s="5">
        <f t="shared" si="1"/>
        <v>0.29251237266114949</v>
      </c>
      <c r="N13" s="5">
        <f t="shared" si="2"/>
        <v>4.5469880453193119E-2</v>
      </c>
      <c r="O13" s="5"/>
      <c r="P13" s="5"/>
      <c r="Q13" s="5">
        <f t="shared" si="8"/>
        <v>0.29552941546341849</v>
      </c>
      <c r="R13" s="5">
        <f>E13/B13</f>
        <v>0.33798225311434266</v>
      </c>
      <c r="S13" s="10">
        <v>0.8</v>
      </c>
      <c r="T13" s="9">
        <f t="shared" si="4"/>
        <v>0.19999999999999996</v>
      </c>
      <c r="U13" t="s">
        <v>8</v>
      </c>
    </row>
    <row r="14" spans="1:24" ht="12.95" x14ac:dyDescent="0.3">
      <c r="A14" s="2">
        <f t="shared" si="11"/>
        <v>2015</v>
      </c>
      <c r="B14" s="1">
        <v>33101361337</v>
      </c>
      <c r="C14" s="1">
        <f>10948928662-1452388018</f>
        <v>9496540644</v>
      </c>
      <c r="D14" s="1">
        <v>1977765909</v>
      </c>
      <c r="E14" s="1">
        <f t="shared" si="10"/>
        <v>11474306553</v>
      </c>
      <c r="F14" s="1">
        <v>1203335551.5699999</v>
      </c>
      <c r="G14" s="5">
        <f>(C14-F14*S14)/B14</f>
        <v>0.26508091989709215</v>
      </c>
      <c r="H14" s="5">
        <f t="shared" si="9"/>
        <v>4.5207557270441331E-2</v>
      </c>
      <c r="I14" s="5">
        <f t="shared" si="7"/>
        <v>3.6353053257206586E-2</v>
      </c>
      <c r="J14" s="5"/>
      <c r="K14" s="5"/>
      <c r="L14" s="5"/>
      <c r="M14" s="5">
        <f>(E14-F14)/B14</f>
        <v>0.31028847716753349</v>
      </c>
      <c r="N14" s="5">
        <f t="shared" si="2"/>
        <v>3.6353053257206586E-2</v>
      </c>
      <c r="O14" s="5"/>
      <c r="P14" s="5"/>
      <c r="Q14" s="5">
        <f t="shared" si="8"/>
        <v>0.28689275185141611</v>
      </c>
      <c r="R14" s="5">
        <f t="shared" si="3"/>
        <v>0.34664153042474005</v>
      </c>
      <c r="S14" s="10">
        <v>0.6</v>
      </c>
      <c r="T14" s="9">
        <f t="shared" si="4"/>
        <v>0.4</v>
      </c>
    </row>
    <row r="15" spans="1:24" ht="12.95" x14ac:dyDescent="0.3">
      <c r="A15" s="2">
        <v>2016</v>
      </c>
      <c r="B15" s="1">
        <v>33729045773</v>
      </c>
      <c r="C15" s="1">
        <f>11291054962-1610945661</f>
        <v>9680109301</v>
      </c>
      <c r="D15" s="1">
        <f>1716817246-441291814+0.4*F15</f>
        <v>1894882364</v>
      </c>
      <c r="E15" s="1">
        <f>D15+C15</f>
        <v>11574991665</v>
      </c>
      <c r="F15" s="1">
        <f>929035398/0.6</f>
        <v>1548392330</v>
      </c>
      <c r="G15" s="5">
        <f>(C15-F15*S15)/B15</f>
        <v>0.26863352227572074</v>
      </c>
      <c r="H15" s="5">
        <f>(D15-T15*F15)/B15</f>
        <v>2.8635466668705985E-2</v>
      </c>
      <c r="I15" s="5">
        <f t="shared" si="7"/>
        <v>4.5906793225662004E-2</v>
      </c>
      <c r="J15" s="8">
        <f>E15/B15</f>
        <v>0.34317578217008871</v>
      </c>
      <c r="K15" s="5"/>
      <c r="L15" s="5"/>
      <c r="M15" s="5">
        <f>(E15-F15)/B15</f>
        <v>0.29726898894442672</v>
      </c>
      <c r="N15" s="5">
        <f t="shared" si="2"/>
        <v>4.5906793225662004E-2</v>
      </c>
      <c r="O15" s="5">
        <f>J15</f>
        <v>0.34317578217008871</v>
      </c>
      <c r="P15" s="5"/>
      <c r="Q15" s="5">
        <f t="shared" si="8"/>
        <v>0.28699623956598552</v>
      </c>
      <c r="R15" s="5">
        <f t="shared" si="3"/>
        <v>0.34317578217008871</v>
      </c>
      <c r="S15" s="10">
        <v>0.4</v>
      </c>
      <c r="T15" s="9">
        <f t="shared" si="4"/>
        <v>0.6</v>
      </c>
    </row>
    <row r="16" spans="1:24" ht="12.95" x14ac:dyDescent="0.3">
      <c r="A16" s="2">
        <v>2017</v>
      </c>
      <c r="B16" s="1"/>
      <c r="C16" s="1"/>
      <c r="D16" s="1"/>
      <c r="E16" s="1"/>
      <c r="F16" s="1"/>
      <c r="G16" s="1"/>
      <c r="H16" s="5"/>
      <c r="I16" s="12"/>
      <c r="J16" s="8"/>
      <c r="K16" s="12"/>
      <c r="L16" s="12"/>
      <c r="M16" s="5"/>
      <c r="N16" s="5"/>
      <c r="O16" s="5"/>
      <c r="P16" s="1"/>
      <c r="Q16" s="1"/>
      <c r="R16" s="5" t="e">
        <f t="shared" si="3"/>
        <v>#DIV/0!</v>
      </c>
      <c r="S16" s="10">
        <v>0.2</v>
      </c>
      <c r="T16" s="9">
        <f t="shared" si="4"/>
        <v>0.8</v>
      </c>
    </row>
    <row r="17" spans="1:20" ht="12.95" x14ac:dyDescent="0.3">
      <c r="A17" s="2">
        <v>2018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0">
        <v>0</v>
      </c>
      <c r="T17" s="9">
        <f t="shared" si="4"/>
        <v>1</v>
      </c>
    </row>
    <row r="18" spans="1:20" ht="12.95" x14ac:dyDescent="0.3">
      <c r="A18" s="2"/>
      <c r="B18" s="8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0"/>
      <c r="T18" s="9"/>
    </row>
    <row r="19" spans="1:20" ht="12.95" x14ac:dyDescent="0.3">
      <c r="A19" s="3"/>
      <c r="B19" s="13"/>
      <c r="C19" s="13"/>
      <c r="D19" s="13"/>
      <c r="E19" s="1"/>
      <c r="J19" s="5"/>
    </row>
    <row r="60" spans="3:5" x14ac:dyDescent="0.2">
      <c r="C60" s="8"/>
      <c r="D60" s="8"/>
      <c r="E60" s="8"/>
    </row>
    <row r="61" spans="3:5" x14ac:dyDescent="0.2">
      <c r="C61" s="8"/>
      <c r="D61" s="8"/>
      <c r="E61" s="8"/>
    </row>
    <row r="62" spans="3:5" x14ac:dyDescent="0.2">
      <c r="C62" s="8"/>
      <c r="D62" s="8"/>
      <c r="E62" s="8"/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8"/>
  <sheetViews>
    <sheetView workbookViewId="0">
      <selection activeCell="B12" sqref="B12"/>
    </sheetView>
  </sheetViews>
  <sheetFormatPr defaultRowHeight="12.75" x14ac:dyDescent="0.2"/>
  <cols>
    <col min="1" max="1" width="11.85546875" bestFit="1" customWidth="1"/>
    <col min="2" max="2" width="16.42578125" bestFit="1" customWidth="1"/>
    <col min="3" max="3" width="15.42578125" bestFit="1" customWidth="1"/>
  </cols>
  <sheetData>
    <row r="1" spans="1:3" ht="12.6" x14ac:dyDescent="0.25">
      <c r="C1" t="s">
        <v>9</v>
      </c>
    </row>
    <row r="2" spans="1:3" ht="12.95" x14ac:dyDescent="0.3">
      <c r="A2" s="2">
        <v>2007</v>
      </c>
      <c r="B2" s="6">
        <v>0.26229999999999998</v>
      </c>
      <c r="C2" s="7">
        <v>0.15</v>
      </c>
    </row>
    <row r="3" spans="1:3" ht="12.95" x14ac:dyDescent="0.3">
      <c r="A3" s="2">
        <v>2008</v>
      </c>
      <c r="C3" s="7">
        <v>0.15</v>
      </c>
    </row>
    <row r="4" spans="1:3" ht="12.95" x14ac:dyDescent="0.3">
      <c r="A4" s="2">
        <v>2009</v>
      </c>
      <c r="B4" s="6">
        <v>0.1981</v>
      </c>
      <c r="C4" s="7">
        <v>0.15</v>
      </c>
    </row>
    <row r="5" spans="1:3" ht="12.95" x14ac:dyDescent="0.3">
      <c r="A5" s="2">
        <f>1+A4</f>
        <v>2010</v>
      </c>
      <c r="B5" s="6">
        <v>0.18559999999999999</v>
      </c>
      <c r="C5" s="7">
        <v>0.15</v>
      </c>
    </row>
    <row r="6" spans="1:3" ht="12.95" x14ac:dyDescent="0.3">
      <c r="A6" s="2">
        <f t="shared" ref="A6:A11" si="0">1+A5</f>
        <v>2011</v>
      </c>
      <c r="B6" s="6">
        <v>0.183</v>
      </c>
      <c r="C6" s="7">
        <v>0.15</v>
      </c>
    </row>
    <row r="7" spans="1:3" ht="12.95" x14ac:dyDescent="0.3">
      <c r="A7" s="2">
        <f t="shared" si="0"/>
        <v>2012</v>
      </c>
      <c r="B7" s="6">
        <v>0.18099999999999999</v>
      </c>
      <c r="C7" s="7">
        <v>0.15</v>
      </c>
    </row>
    <row r="8" spans="1:3" ht="12.95" x14ac:dyDescent="0.3">
      <c r="A8" s="2">
        <f t="shared" si="0"/>
        <v>2013</v>
      </c>
      <c r="B8" s="6">
        <v>0.17760000000000001</v>
      </c>
      <c r="C8" s="7">
        <v>0.15</v>
      </c>
    </row>
    <row r="9" spans="1:3" ht="12.95" x14ac:dyDescent="0.3">
      <c r="A9" s="2">
        <f t="shared" si="0"/>
        <v>2014</v>
      </c>
      <c r="B9" s="6">
        <v>0.1842</v>
      </c>
      <c r="C9" s="7">
        <v>0.15</v>
      </c>
    </row>
    <row r="10" spans="1:3" ht="12.95" x14ac:dyDescent="0.3">
      <c r="A10" s="2">
        <f t="shared" si="0"/>
        <v>2015</v>
      </c>
      <c r="B10" s="6">
        <v>0.1946</v>
      </c>
      <c r="C10" s="7">
        <v>0.15</v>
      </c>
    </row>
    <row r="11" spans="1:3" ht="12.95" x14ac:dyDescent="0.3">
      <c r="A11" s="2">
        <f t="shared" si="0"/>
        <v>2016</v>
      </c>
      <c r="B11" s="6">
        <f>D27</f>
        <v>0.22399883522702324</v>
      </c>
      <c r="C11" s="7">
        <v>0.15</v>
      </c>
    </row>
    <row r="12" spans="1:3" x14ac:dyDescent="0.2">
      <c r="A12" s="3" t="s">
        <v>22</v>
      </c>
      <c r="B12" s="5">
        <f>(C28+C27-C26)/(B28+B27-B26)</f>
        <v>0.21873544771409856</v>
      </c>
      <c r="C12" s="7">
        <v>0.15</v>
      </c>
    </row>
    <row r="13" spans="1:3" ht="12.6" x14ac:dyDescent="0.25">
      <c r="B13" s="14"/>
    </row>
    <row r="14" spans="1:3" ht="12.6" x14ac:dyDescent="0.25">
      <c r="B14" s="14"/>
    </row>
    <row r="25" spans="1:4" x14ac:dyDescent="0.2">
      <c r="B25" t="s">
        <v>21</v>
      </c>
      <c r="C25" t="s">
        <v>20</v>
      </c>
    </row>
    <row r="26" spans="1:4" x14ac:dyDescent="0.2">
      <c r="A26" s="15">
        <v>42522</v>
      </c>
      <c r="B26" s="18">
        <v>18193255172.880001</v>
      </c>
      <c r="C26" s="18">
        <v>3817114436.5300002</v>
      </c>
      <c r="D26" s="5">
        <f>C26/B26</f>
        <v>0.20980931670875635</v>
      </c>
    </row>
    <row r="27" spans="1:4" x14ac:dyDescent="0.2">
      <c r="A27" s="19">
        <v>2016</v>
      </c>
      <c r="B27" s="18">
        <v>33707949671.869999</v>
      </c>
      <c r="C27" s="18">
        <v>7550541464.3900003</v>
      </c>
      <c r="D27" s="5">
        <f t="shared" ref="D27:D28" si="1">C27/B27</f>
        <v>0.22399883522702324</v>
      </c>
    </row>
    <row r="28" spans="1:4" x14ac:dyDescent="0.2">
      <c r="A28" s="15">
        <v>42887</v>
      </c>
      <c r="B28" s="18">
        <v>19082754891.889999</v>
      </c>
      <c r="C28" s="18">
        <v>3834261554.4200001</v>
      </c>
      <c r="D28" s="5">
        <f t="shared" si="1"/>
        <v>0.20092809325185679</v>
      </c>
    </row>
  </sheetData>
  <pageMargins left="0.511811024" right="0.511811024" top="0.78740157499999996" bottom="0.78740157499999996" header="0.31496062000000002" footer="0.31496062000000002"/>
  <pageSetup paperSize="9" orientation="portrait" verticalDpi="9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Educação - Comparável</vt:lpstr>
      <vt:lpstr>Educação - TCMSP</vt:lpstr>
      <vt:lpstr>Saúde</vt:lpstr>
    </vt:vector>
  </TitlesOfParts>
  <Company>Banco Central do Brasil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 Abreu Paiva</dc:creator>
  <cp:lastModifiedBy>Rafael Bianchini Abreu Paiva</cp:lastModifiedBy>
  <dcterms:created xsi:type="dcterms:W3CDTF">2016-08-30T18:40:27Z</dcterms:created>
  <dcterms:modified xsi:type="dcterms:W3CDTF">2017-10-10T15:39:40Z</dcterms:modified>
</cp:coreProperties>
</file>