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1075" windowHeight="10035"/>
  </bookViews>
  <sheets>
    <sheet name="Educação - Comparável" sheetId="3" r:id="rId1"/>
    <sheet name="Educação - TCMSP" sheetId="1" r:id="rId2"/>
    <sheet name="Saúde" sheetId="2" r:id="rId3"/>
    <sheet name="Caixa em 2016" sheetId="4" r:id="rId4"/>
    <sheet name="Receitas" sheetId="5" r:id="rId5"/>
  </sheets>
  <calcPr calcId="145621"/>
</workbook>
</file>

<file path=xl/calcChain.xml><?xml version="1.0" encoding="utf-8"?>
<calcChain xmlns="http://schemas.openxmlformats.org/spreadsheetml/2006/main">
  <c r="B12" i="2" l="1"/>
  <c r="B87" i="3"/>
  <c r="C78" i="3"/>
  <c r="C79" i="3"/>
  <c r="C80" i="3"/>
  <c r="C81" i="3"/>
  <c r="C82" i="3"/>
  <c r="C83" i="3"/>
  <c r="C84" i="3"/>
  <c r="C85" i="3"/>
  <c r="C86" i="3"/>
  <c r="C77" i="3"/>
  <c r="B78" i="3"/>
  <c r="B79" i="3"/>
  <c r="B80" i="3"/>
  <c r="B81" i="3"/>
  <c r="B82" i="3"/>
  <c r="B83" i="3"/>
  <c r="B84" i="3"/>
  <c r="B85" i="3"/>
  <c r="B86" i="3"/>
  <c r="B77" i="3"/>
  <c r="A79" i="3"/>
  <c r="A80" i="3"/>
  <c r="A81" i="3"/>
  <c r="A82" i="3"/>
  <c r="A83" i="3"/>
  <c r="A84" i="3"/>
  <c r="A85" i="3"/>
  <c r="A86" i="3"/>
  <c r="A78" i="3"/>
  <c r="G18" i="5" l="1"/>
  <c r="A13" i="5"/>
  <c r="A14" i="5" s="1"/>
  <c r="E15" i="5"/>
  <c r="F15" i="5"/>
  <c r="A4" i="5"/>
  <c r="A5" i="5" s="1"/>
  <c r="A6" i="5" s="1"/>
  <c r="A7" i="5" s="1"/>
  <c r="A8" i="5" s="1"/>
  <c r="A9" i="5" s="1"/>
  <c r="A10" i="5" s="1"/>
  <c r="A11" i="5" s="1"/>
  <c r="A12" i="5" s="1"/>
  <c r="A15" i="5" l="1"/>
  <c r="N4" i="5"/>
  <c r="N5" i="5" s="1"/>
  <c r="N6" i="5" s="1"/>
  <c r="N7" i="5" s="1"/>
  <c r="N8" i="5" s="1"/>
  <c r="N9" i="5" s="1"/>
  <c r="N10" i="5" s="1"/>
  <c r="N11" i="5" s="1"/>
  <c r="N12" i="5" s="1"/>
  <c r="N13" i="5" s="1"/>
  <c r="N14" i="5" s="1"/>
  <c r="Q4" i="5"/>
  <c r="Q5" i="5"/>
  <c r="Q6" i="5"/>
  <c r="Q7" i="5"/>
  <c r="Q8" i="5"/>
  <c r="Q9" i="5"/>
  <c r="Q10" i="5"/>
  <c r="Q11" i="5"/>
  <c r="Q12" i="5"/>
  <c r="Q13" i="5"/>
  <c r="Q14" i="5"/>
  <c r="Q15" i="5"/>
  <c r="Q3" i="5"/>
  <c r="P4" i="5"/>
  <c r="P5" i="5"/>
  <c r="P6" i="5"/>
  <c r="P7" i="5"/>
  <c r="P8" i="5"/>
  <c r="P9" i="5"/>
  <c r="P10" i="5"/>
  <c r="P11" i="5"/>
  <c r="P12" i="5"/>
  <c r="P13" i="5"/>
  <c r="P14" i="5"/>
  <c r="P3" i="5"/>
  <c r="O4" i="5"/>
  <c r="O5" i="5"/>
  <c r="O6" i="5"/>
  <c r="O7" i="5"/>
  <c r="O8" i="5"/>
  <c r="O9" i="5"/>
  <c r="O10" i="5"/>
  <c r="O11" i="5"/>
  <c r="O12" i="5"/>
  <c r="O13" i="5"/>
  <c r="O14" i="5"/>
  <c r="O3" i="5"/>
  <c r="P15" i="5"/>
  <c r="K15" i="5"/>
  <c r="I15" i="5" l="1"/>
  <c r="O15" i="5"/>
  <c r="J15" i="5"/>
  <c r="K4" i="5"/>
  <c r="K5" i="5"/>
  <c r="K6" i="5"/>
  <c r="K7" i="5"/>
  <c r="K8" i="5"/>
  <c r="K9" i="5"/>
  <c r="K10" i="5"/>
  <c r="K11" i="5"/>
  <c r="K12" i="5"/>
  <c r="K13" i="5"/>
  <c r="K14" i="5"/>
  <c r="K3" i="5"/>
  <c r="J4" i="5"/>
  <c r="J5" i="5"/>
  <c r="J6" i="5"/>
  <c r="J7" i="5"/>
  <c r="J8" i="5"/>
  <c r="J9" i="5"/>
  <c r="J10" i="5"/>
  <c r="J11" i="5"/>
  <c r="J12" i="5"/>
  <c r="J13" i="5"/>
  <c r="J14" i="5"/>
  <c r="J3" i="5"/>
  <c r="I4" i="5"/>
  <c r="I5" i="5"/>
  <c r="I6" i="5"/>
  <c r="I7" i="5"/>
  <c r="I8" i="5"/>
  <c r="I9" i="5"/>
  <c r="I10" i="5"/>
  <c r="I11" i="5"/>
  <c r="I12" i="5"/>
  <c r="I13" i="5"/>
  <c r="I14" i="5"/>
  <c r="I3" i="5"/>
  <c r="D4" i="5"/>
  <c r="D5" i="5" s="1"/>
  <c r="D6" i="5" s="1"/>
  <c r="D7" i="5" s="1"/>
  <c r="D8" i="5" s="1"/>
  <c r="D9" i="5" s="1"/>
  <c r="D10" i="5" s="1"/>
  <c r="D11" i="5" s="1"/>
  <c r="D12" i="5" s="1"/>
  <c r="D13" i="5" s="1"/>
  <c r="D14" i="5" s="1"/>
  <c r="C6" i="4" l="1"/>
  <c r="B6" i="4"/>
  <c r="B4" i="4"/>
  <c r="C68" i="3" l="1"/>
  <c r="I69" i="3"/>
  <c r="I71" i="3"/>
  <c r="I72" i="3"/>
  <c r="C70" i="3"/>
  <c r="I70" i="3" s="1"/>
  <c r="C71" i="3"/>
  <c r="C72" i="3"/>
  <c r="C69" i="3"/>
  <c r="B70" i="3"/>
  <c r="B71" i="3"/>
  <c r="B72" i="3"/>
  <c r="B69" i="3"/>
  <c r="B68" i="3"/>
  <c r="I68" i="3" s="1"/>
  <c r="E57" i="3"/>
  <c r="E58" i="3"/>
  <c r="K57" i="3"/>
  <c r="K58" i="3"/>
  <c r="K63" i="3"/>
  <c r="J57" i="3"/>
  <c r="J58" i="3"/>
  <c r="J63" i="3"/>
  <c r="I57" i="3"/>
  <c r="I58" i="3"/>
  <c r="I59" i="3"/>
  <c r="I60" i="3"/>
  <c r="I61" i="3"/>
  <c r="I62" i="3"/>
  <c r="I63" i="3"/>
  <c r="I64" i="3"/>
  <c r="I65" i="3"/>
  <c r="F65" i="3"/>
  <c r="F63" i="3"/>
  <c r="E62" i="3"/>
  <c r="K62" i="3" s="1"/>
  <c r="E63" i="3"/>
  <c r="C16" i="3"/>
  <c r="B16" i="3"/>
  <c r="E60" i="3"/>
  <c r="K60" i="3" s="1"/>
  <c r="E64" i="3"/>
  <c r="K64" i="3" s="1"/>
  <c r="E65" i="3"/>
  <c r="K65" i="3" s="1"/>
  <c r="E59" i="3"/>
  <c r="K59" i="3" s="1"/>
  <c r="C15" i="3"/>
  <c r="B15" i="3"/>
  <c r="Q15" i="1"/>
  <c r="C64" i="1"/>
  <c r="F15" i="1" s="1"/>
  <c r="C47" i="2"/>
  <c r="D47" i="2" s="1"/>
  <c r="C48" i="2"/>
  <c r="D48" i="2" s="1"/>
  <c r="C49" i="2"/>
  <c r="D49" i="2" s="1"/>
  <c r="B47" i="2"/>
  <c r="B48" i="2"/>
  <c r="B49" i="2"/>
  <c r="C46" i="2"/>
  <c r="D46" i="2" s="1"/>
  <c r="B46" i="2"/>
  <c r="E45" i="2"/>
  <c r="D45" i="2" s="1"/>
  <c r="A39" i="2"/>
  <c r="A40" i="2" s="1"/>
  <c r="A41" i="2" s="1"/>
  <c r="A42" i="2" s="1"/>
  <c r="A43" i="2" s="1"/>
  <c r="A44" i="2" s="1"/>
  <c r="A45" i="2" s="1"/>
  <c r="D28" i="2"/>
  <c r="D24" i="2"/>
  <c r="D25" i="2"/>
  <c r="D26" i="2"/>
  <c r="D27" i="2"/>
  <c r="D29" i="2"/>
  <c r="D30" i="2"/>
  <c r="D31" i="2"/>
  <c r="D33" i="2"/>
  <c r="G15" i="1" l="1"/>
  <c r="F15" i="3"/>
  <c r="D15" i="1"/>
  <c r="D61" i="3"/>
  <c r="J65" i="3"/>
  <c r="J60" i="3"/>
  <c r="J64" i="3"/>
  <c r="J59" i="3"/>
  <c r="J62" i="3"/>
  <c r="B11" i="2"/>
  <c r="D32" i="2"/>
  <c r="F64" i="3"/>
  <c r="D16" i="3" l="1"/>
  <c r="D68" i="3"/>
  <c r="D71" i="3"/>
  <c r="D70" i="3"/>
  <c r="D72" i="3"/>
  <c r="D69" i="3"/>
  <c r="D15" i="3"/>
  <c r="E15" i="3" s="1"/>
  <c r="E15" i="1"/>
  <c r="C66" i="1" s="1"/>
  <c r="E61" i="3"/>
  <c r="C14" i="3"/>
  <c r="Q14" i="3" s="1"/>
  <c r="C13" i="3"/>
  <c r="G13" i="3" s="1"/>
  <c r="G12" i="3"/>
  <c r="D14" i="3"/>
  <c r="D13" i="3"/>
  <c r="T17" i="3"/>
  <c r="T16" i="3"/>
  <c r="Q16" i="3"/>
  <c r="T15" i="3"/>
  <c r="T14" i="3"/>
  <c r="N14" i="3"/>
  <c r="I14" i="3"/>
  <c r="T13" i="3"/>
  <c r="Q13" i="3"/>
  <c r="N13" i="3"/>
  <c r="I13" i="3"/>
  <c r="T12" i="3"/>
  <c r="H12" i="3" s="1"/>
  <c r="Q12" i="3"/>
  <c r="N12" i="3"/>
  <c r="I12" i="3"/>
  <c r="E12" i="3"/>
  <c r="M12" i="3" s="1"/>
  <c r="T11" i="3"/>
  <c r="H11" i="3" s="1"/>
  <c r="Q11" i="3"/>
  <c r="N11" i="3"/>
  <c r="I11" i="3"/>
  <c r="G11" i="3"/>
  <c r="E11" i="3"/>
  <c r="M11" i="3" s="1"/>
  <c r="T10" i="3"/>
  <c r="H10" i="3" s="1"/>
  <c r="Q10" i="3"/>
  <c r="N10" i="3"/>
  <c r="I10" i="3"/>
  <c r="G10" i="3"/>
  <c r="E10" i="3"/>
  <c r="M10" i="3" s="1"/>
  <c r="T9" i="3"/>
  <c r="H9" i="3" s="1"/>
  <c r="Q9" i="3"/>
  <c r="N9" i="3"/>
  <c r="I9" i="3"/>
  <c r="G9" i="3"/>
  <c r="E9" i="3"/>
  <c r="R9" i="3" s="1"/>
  <c r="A9" i="3"/>
  <c r="A10" i="3" s="1"/>
  <c r="A11" i="3" s="1"/>
  <c r="A12" i="3" s="1"/>
  <c r="A13" i="3" s="1"/>
  <c r="A14" i="3" s="1"/>
  <c r="T8" i="3"/>
  <c r="H8" i="3" s="1"/>
  <c r="Q8" i="3"/>
  <c r="N8" i="3"/>
  <c r="I8" i="3"/>
  <c r="G8" i="3"/>
  <c r="E8" i="3"/>
  <c r="M8" i="3" s="1"/>
  <c r="T7" i="3"/>
  <c r="H7" i="3" s="1"/>
  <c r="Q7" i="3"/>
  <c r="N7" i="3"/>
  <c r="I7" i="3"/>
  <c r="G7" i="3"/>
  <c r="E7" i="3"/>
  <c r="M7" i="3" s="1"/>
  <c r="T6" i="3"/>
  <c r="H6" i="3" s="1"/>
  <c r="Q6" i="3"/>
  <c r="N6" i="3"/>
  <c r="I6" i="3"/>
  <c r="G6" i="3"/>
  <c r="E6" i="3"/>
  <c r="M6" i="3" s="1"/>
  <c r="T5" i="3"/>
  <c r="R5" i="3"/>
  <c r="N5" i="3"/>
  <c r="M5" i="3"/>
  <c r="J5" i="3"/>
  <c r="T4" i="3"/>
  <c r="R4" i="3"/>
  <c r="N4" i="3"/>
  <c r="M4" i="3"/>
  <c r="J4" i="3"/>
  <c r="T3" i="3"/>
  <c r="R3" i="3"/>
  <c r="N3" i="3"/>
  <c r="M3" i="3"/>
  <c r="J3" i="3"/>
  <c r="T2" i="3"/>
  <c r="R2" i="3"/>
  <c r="N2" i="3"/>
  <c r="M2" i="3"/>
  <c r="J2" i="3"/>
  <c r="G13" i="1"/>
  <c r="J71" i="3" l="1"/>
  <c r="K71" i="3" s="1"/>
  <c r="E71" i="3"/>
  <c r="E16" i="3"/>
  <c r="J61" i="3"/>
  <c r="K61" i="3"/>
  <c r="J69" i="3"/>
  <c r="K69" i="3" s="1"/>
  <c r="E69" i="3"/>
  <c r="J68" i="3"/>
  <c r="K68" i="3" s="1"/>
  <c r="E68" i="3"/>
  <c r="J70" i="3"/>
  <c r="K70" i="3" s="1"/>
  <c r="E70" i="3"/>
  <c r="E72" i="3"/>
  <c r="J72" i="3"/>
  <c r="K72" i="3" s="1"/>
  <c r="I15" i="1"/>
  <c r="N15" i="1"/>
  <c r="R10" i="3"/>
  <c r="N15" i="3"/>
  <c r="F61" i="3"/>
  <c r="R11" i="3"/>
  <c r="G15" i="3"/>
  <c r="M9" i="3"/>
  <c r="R8" i="3"/>
  <c r="R7" i="3"/>
  <c r="I15" i="3"/>
  <c r="H15" i="3"/>
  <c r="H13" i="3"/>
  <c r="R6" i="3"/>
  <c r="R12" i="3"/>
  <c r="H14" i="3"/>
  <c r="E14" i="3"/>
  <c r="R14" i="3" s="1"/>
  <c r="E13" i="3"/>
  <c r="R13" i="3" s="1"/>
  <c r="G14" i="3"/>
  <c r="Q15" i="3"/>
  <c r="M13" i="3" l="1"/>
  <c r="M15" i="1"/>
  <c r="R15" i="3"/>
  <c r="M14" i="3"/>
  <c r="J5" i="1"/>
  <c r="M15" i="3" l="1"/>
  <c r="N3" i="1"/>
  <c r="N4" i="1"/>
  <c r="N5" i="1"/>
  <c r="N6" i="1"/>
  <c r="N7" i="1"/>
  <c r="N8" i="1"/>
  <c r="N9" i="1"/>
  <c r="N10" i="1"/>
  <c r="N11" i="1"/>
  <c r="N12" i="1"/>
  <c r="N13" i="1"/>
  <c r="N14" i="1"/>
  <c r="N2" i="1"/>
  <c r="E6" i="1"/>
  <c r="M6" i="1" s="1"/>
  <c r="E7" i="1"/>
  <c r="M7" i="1" s="1"/>
  <c r="J3" i="1"/>
  <c r="J4" i="1"/>
  <c r="J2" i="1"/>
  <c r="G6" i="1"/>
  <c r="G7" i="1"/>
  <c r="G8" i="1"/>
  <c r="G9" i="1"/>
  <c r="G10" i="1"/>
  <c r="G11" i="1"/>
  <c r="G12" i="1"/>
  <c r="I6" i="1"/>
  <c r="I7" i="1"/>
  <c r="I8" i="1"/>
  <c r="I9" i="1"/>
  <c r="I10" i="1"/>
  <c r="I11" i="1"/>
  <c r="I12" i="1"/>
  <c r="I13" i="1"/>
  <c r="I14" i="1"/>
  <c r="M3" i="1"/>
  <c r="M4" i="1"/>
  <c r="M5" i="1"/>
  <c r="M2" i="1"/>
  <c r="R16" i="3" l="1"/>
  <c r="J16" i="3"/>
  <c r="O16" i="3" s="1"/>
  <c r="E9" i="1"/>
  <c r="M9" i="1" s="1"/>
  <c r="E10" i="1"/>
  <c r="E11" i="1"/>
  <c r="E12" i="1"/>
  <c r="E13" i="1"/>
  <c r="E8" i="1"/>
  <c r="M8" i="1" s="1"/>
  <c r="R3" i="1"/>
  <c r="R4" i="1"/>
  <c r="R5" i="1"/>
  <c r="R6" i="1"/>
  <c r="R7" i="1"/>
  <c r="R2" i="1"/>
  <c r="T3" i="1"/>
  <c r="T4" i="1"/>
  <c r="T5" i="1"/>
  <c r="T6" i="1"/>
  <c r="H6" i="1" s="1"/>
  <c r="T7" i="1"/>
  <c r="H7" i="1" s="1"/>
  <c r="T8" i="1"/>
  <c r="H8" i="1" s="1"/>
  <c r="T9" i="1"/>
  <c r="H9" i="1" s="1"/>
  <c r="T10" i="1"/>
  <c r="H10" i="1" s="1"/>
  <c r="T11" i="1"/>
  <c r="H11" i="1" s="1"/>
  <c r="T12" i="1"/>
  <c r="H12" i="1" s="1"/>
  <c r="T13" i="1"/>
  <c r="H13" i="1" s="1"/>
  <c r="T14" i="1"/>
  <c r="H14" i="1" s="1"/>
  <c r="T15" i="1"/>
  <c r="H15" i="1" s="1"/>
  <c r="T16" i="1"/>
  <c r="T17" i="1"/>
  <c r="T2" i="1"/>
  <c r="Q6" i="1"/>
  <c r="Q7" i="1"/>
  <c r="Q8" i="1"/>
  <c r="Q9" i="1"/>
  <c r="Q10" i="1"/>
  <c r="Q11" i="1"/>
  <c r="Q12" i="1"/>
  <c r="Q13" i="1"/>
  <c r="R8" i="1" l="1"/>
  <c r="R9" i="1"/>
  <c r="R12" i="1"/>
  <c r="M12" i="1"/>
  <c r="R11" i="1"/>
  <c r="M11" i="1"/>
  <c r="R10" i="1"/>
  <c r="M10" i="1"/>
  <c r="R13" i="1"/>
  <c r="M13" i="1"/>
  <c r="A5" i="2" l="1"/>
  <c r="A6" i="2" s="1"/>
  <c r="C14" i="1"/>
  <c r="A9" i="1"/>
  <c r="A10" i="1" s="1"/>
  <c r="A11" i="1" s="1"/>
  <c r="A12" i="1" s="1"/>
  <c r="A13" i="1" s="1"/>
  <c r="A14" i="1" s="1"/>
  <c r="Q14" i="1" l="1"/>
  <c r="G14" i="1"/>
  <c r="E14" i="1"/>
  <c r="M14" i="1" s="1"/>
  <c r="A7" i="2"/>
  <c r="A8" i="2" s="1"/>
  <c r="A9" i="2" s="1"/>
  <c r="A10" i="2" s="1"/>
  <c r="A11" i="2" s="1"/>
  <c r="R14" i="1" l="1"/>
  <c r="R15" i="1"/>
</calcChain>
</file>

<file path=xl/comments1.xml><?xml version="1.0" encoding="utf-8"?>
<comments xmlns="http://schemas.openxmlformats.org/spreadsheetml/2006/main">
  <authors>
    <author>Rafael BAP</author>
    <author>Rafael Bianchini Abreu Paiva</author>
    <author>Rafael Bianchini</author>
  </authors>
  <commentList>
    <comment ref="F1" authorId="0">
      <text>
        <r>
          <rPr>
            <b/>
            <sz val="9"/>
            <color indexed="81"/>
            <rFont val="Segoe UI"/>
            <family val="2"/>
          </rPr>
          <t>De 2003 a 2010, TCMSP (TC 72-002.292.08-09), De 2010 em diante, https://www.fnde.gov.br/siope/demonstrativoFuncaoEducacao.do</t>
        </r>
      </text>
    </comment>
    <comment ref="A2" authorId="1">
      <text>
        <r>
          <rPr>
            <b/>
            <sz val="9"/>
            <color indexed="81"/>
            <rFont val="Tahoma"/>
            <family val="2"/>
          </rPr>
          <t>TC 72-002.292.08-09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3" authorId="1">
      <text>
        <r>
          <rPr>
            <b/>
            <sz val="9"/>
            <color indexed="81"/>
            <rFont val="Tahoma"/>
            <family val="2"/>
          </rPr>
          <t>TC 72-002.292.08-09</t>
        </r>
      </text>
    </comment>
    <comment ref="A4" authorId="1">
      <text>
        <r>
          <rPr>
            <b/>
            <sz val="9"/>
            <color indexed="81"/>
            <rFont val="Tahoma"/>
            <family val="2"/>
          </rPr>
          <t>TC 72-002.292.08-09</t>
        </r>
      </text>
    </comment>
    <comment ref="A5" authorId="1">
      <text>
        <r>
          <rPr>
            <b/>
            <sz val="9"/>
            <color indexed="81"/>
            <rFont val="Tahoma"/>
            <family val="2"/>
          </rPr>
          <t>TC 72-002.292.08-09</t>
        </r>
      </text>
    </comment>
    <comment ref="A6" authorId="1">
      <text>
        <r>
          <rPr>
            <b/>
            <sz val="9"/>
            <color indexed="81"/>
            <rFont val="Tahoma"/>
            <family val="2"/>
          </rPr>
          <t>TC 72-002.292.08-09 e http://www.tcm.sp.gov.br/relatorios/contas08/Raf-PMSP-2007/RelatCompleto.pdf</t>
        </r>
      </text>
    </comment>
    <comment ref="A7" authorId="1">
      <text>
        <r>
          <rPr>
            <b/>
            <sz val="9"/>
            <color indexed="81"/>
            <rFont val="Tahoma"/>
            <family val="2"/>
          </rPr>
          <t>TC 72-002.292.08-09 e http://www.tcm.sp.gov.br/relatorios/contas09/RELATRIO%20SFC.pdf</t>
        </r>
      </text>
    </comment>
    <comment ref="A8" authorId="1">
      <text>
        <r>
          <rPr>
            <b/>
            <sz val="9"/>
            <color indexed="81"/>
            <rFont val="Tahoma"/>
            <charset val="1"/>
          </rPr>
          <t>http://www.tcm.sp.gov.br/relatorios/AnualFiscalizacao/7591000RA04RT001-10.pdf</t>
        </r>
      </text>
    </comment>
    <comment ref="A9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http://www.tcm.sp.gov.br/relatorios/AnualFiscalizacao/RelatorioAnualDeFiscalizacao2010.pdf</t>
        </r>
      </text>
    </comment>
    <comment ref="A10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http://www.tcm.sp.gov.br/relatorios/AnualFiscalizacao/RelatorioAnualDeFiscalizacao2011.pdf</t>
        </r>
      </text>
    </comment>
    <comment ref="A11" authorId="0">
      <text>
        <r>
          <rPr>
            <b/>
            <sz val="9"/>
            <color indexed="81"/>
            <rFont val="Segoe UI"/>
            <charset val="1"/>
          </rPr>
          <t>DOC ( http://www.docidadesp.imprensaoficial.com.br/ ), 12/09/2013, p. 78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12" authorId="1">
      <text>
        <r>
          <rPr>
            <b/>
            <sz val="9"/>
            <color indexed="81"/>
            <rFont val="Tahoma"/>
            <family val="2"/>
          </rPr>
          <t>DOC ( http://www.docidadesp.imprensaoficial.com.br/ ), 24/07/2014, p. 108</t>
        </r>
      </text>
    </comment>
    <comment ref="A13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http://www.tcm.sp.gov.br/relatorios/AnualFiscalizacao/RAF%202014v2.pdf</t>
        </r>
      </text>
    </comment>
    <comment ref="A14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http://www.tcm.sp.gov.br/relatorios/AnualFiscalizacao/RAF%202016.pdf</t>
        </r>
      </text>
    </comment>
    <comment ref="F56" authorId="0">
      <text>
        <r>
          <rPr>
            <b/>
            <sz val="9"/>
            <color indexed="81"/>
            <rFont val="Segoe UI"/>
            <family val="2"/>
          </rPr>
          <t>De 2003 a 2010, TCMSP (TC 72-002.292.08-09), De 2010 em diante, https://www.fnde.gov.br/siope/demonstrativoFuncaoEducacao.do</t>
        </r>
      </text>
    </comment>
    <comment ref="A57" authorId="2">
      <text>
        <r>
          <rPr>
            <b/>
            <sz val="9"/>
            <color indexed="81"/>
            <rFont val="Segoe UI"/>
            <family val="2"/>
          </rPr>
          <t>http://www.prefeitura.sp.gov.br/cidade/upload/RD-Educacao-1Bim-2016-preliminar_1459541361.pdf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58" authorId="2">
      <text>
        <r>
          <rPr>
            <b/>
            <sz val="9"/>
            <color indexed="81"/>
            <rFont val="Segoe UI"/>
            <family val="2"/>
          </rPr>
          <t>http://www.prefeitura.sp.gov.br/cidade/upload/EducacaoDemonstrativo2bimestre_1469636824.pdf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59" authorId="1">
      <text>
        <r>
          <rPr>
            <b/>
            <sz val="9"/>
            <color indexed="81"/>
            <rFont val="Tahoma"/>
            <charset val="1"/>
          </rPr>
          <t>http://www.prefeitura.sp.gov.br/cidade/upload/Educacao_3Bim_1469649267.pdf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60" authorId="2">
      <text>
        <r>
          <rPr>
            <b/>
            <sz val="9"/>
            <color indexed="81"/>
            <rFont val="Segoe UI"/>
            <family val="2"/>
          </rPr>
          <t>http://www.prefeitura.sp.gov.br/cidade/upload/Educacao_4BIM_%202016_1474911511.pdf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61" authorId="1">
      <text>
        <r>
          <rPr>
            <b/>
            <sz val="9"/>
            <color indexed="81"/>
            <rFont val="Tahoma"/>
            <family val="2"/>
          </rPr>
          <t>http://www.prefeitura.sp.gov.br/cidade/upload/Educacao_6BIM_2016_prelim_1485790566.pdf</t>
        </r>
      </text>
    </comment>
    <comment ref="A62" authorId="2">
      <text>
        <r>
          <rPr>
            <b/>
            <sz val="9"/>
            <color indexed="81"/>
            <rFont val="Segoe UI"/>
            <family val="2"/>
          </rPr>
          <t>http://orcamento.sf.prefeitura.sp.gov.br/orcamento/uploads/2017/EducacaoDemonstrativo1bimestre.pdf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63" authorId="2">
      <text>
        <r>
          <rPr>
            <b/>
            <sz val="9"/>
            <color indexed="81"/>
            <rFont val="Segoe UI"/>
            <family val="2"/>
          </rPr>
          <t>http://orcamento.sf.prefeitura.sp.gov.br/orcamento/uploads/2017/EducacaoDemonstrativo2bimestre.pdf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64" authorId="1">
      <text>
        <r>
          <rPr>
            <b/>
            <sz val="9"/>
            <color indexed="81"/>
            <rFont val="Tahoma"/>
            <charset val="1"/>
          </rPr>
          <t>http://orcamento.sf.prefeitura.sp.gov.br/orcamento/uploads/2017/EducacaoDemonstrativo3bimestre.pdf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65" authorId="1">
      <text>
        <r>
          <rPr>
            <sz val="9"/>
            <color indexed="81"/>
            <rFont val="Tahoma"/>
            <charset val="1"/>
          </rPr>
          <t xml:space="preserve">http://orcamento.sf.prefeitura.sp.gov.br/orcamento/uploads/2017/EducacaoDemonstrativo4bimestre.pdf
</t>
        </r>
      </text>
    </comment>
    <comment ref="A68" authorId="1">
      <text>
        <r>
          <rPr>
            <b/>
            <sz val="9"/>
            <color indexed="81"/>
            <rFont val="Tahoma"/>
            <family val="2"/>
          </rPr>
          <t>http://www.prefeitura.sp.gov.br/cidade/upload/Educacao_6BIM_2016_prelim_1485790566.pdf</t>
        </r>
      </text>
    </comment>
    <comment ref="A69" authorId="2">
      <text>
        <r>
          <rPr>
            <b/>
            <sz val="9"/>
            <color indexed="81"/>
            <rFont val="Segoe UI"/>
            <family val="2"/>
          </rPr>
          <t>http://orcamento.sf.prefeitura.sp.gov.br/orcamento/uploads/2017/EducacaoDemonstrativo1bimestre.pdf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70" authorId="2">
      <text>
        <r>
          <rPr>
            <b/>
            <sz val="9"/>
            <color indexed="81"/>
            <rFont val="Segoe UI"/>
            <family val="2"/>
          </rPr>
          <t>http://orcamento.sf.prefeitura.sp.gov.br/orcamento/uploads/2017/EducacaoDemonstrativo2bimestre.pdf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71" authorId="1">
      <text>
        <r>
          <rPr>
            <b/>
            <sz val="9"/>
            <color indexed="81"/>
            <rFont val="Tahoma"/>
            <charset val="1"/>
          </rPr>
          <t>http://orcamento.sf.prefeitura.sp.gov.br/orcamento/uploads/2017/EducacaoDemonstrativo3bimestre.pdf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72" authorId="1">
      <text>
        <r>
          <rPr>
            <b/>
            <sz val="9"/>
            <color indexed="81"/>
            <rFont val="Tahoma"/>
            <charset val="1"/>
          </rPr>
          <t>http://orcamento.sf.prehttp://orcamento.sf.prefeitura.sp.gov.br/orcamento/uploads/2017/EducacaoDemonstrativo4bimestre.pdf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Rafael BAP</author>
    <author>Rafael Bianchini Abreu Paiva</author>
  </authors>
  <commentList>
    <comment ref="F1" authorId="0">
      <text>
        <r>
          <rPr>
            <b/>
            <sz val="9"/>
            <color indexed="81"/>
            <rFont val="Segoe UI"/>
            <family val="2"/>
          </rPr>
          <t>De 2003 a 2010, TCMSP (TC 72-002.292.08-09), De 2010 em diante, https://www.fnde.gov.br/siope/demonstrativoFuncaoEducacao.do</t>
        </r>
      </text>
    </comment>
    <comment ref="A2" authorId="1">
      <text>
        <r>
          <rPr>
            <b/>
            <sz val="9"/>
            <color indexed="81"/>
            <rFont val="Tahoma"/>
            <family val="2"/>
          </rPr>
          <t>TC 72-002.292.08-09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3" authorId="1">
      <text>
        <r>
          <rPr>
            <b/>
            <sz val="9"/>
            <color indexed="81"/>
            <rFont val="Tahoma"/>
            <family val="2"/>
          </rPr>
          <t>TC 72-002.292.08-09</t>
        </r>
      </text>
    </comment>
    <comment ref="A4" authorId="1">
      <text>
        <r>
          <rPr>
            <b/>
            <sz val="9"/>
            <color indexed="81"/>
            <rFont val="Tahoma"/>
            <family val="2"/>
          </rPr>
          <t>TC 72-002.292.08-09</t>
        </r>
      </text>
    </comment>
    <comment ref="A5" authorId="1">
      <text>
        <r>
          <rPr>
            <b/>
            <sz val="9"/>
            <color indexed="81"/>
            <rFont val="Tahoma"/>
            <family val="2"/>
          </rPr>
          <t>TC 72-002.292.08-09</t>
        </r>
      </text>
    </comment>
    <comment ref="A6" authorId="1">
      <text>
        <r>
          <rPr>
            <b/>
            <sz val="9"/>
            <color indexed="81"/>
            <rFont val="Tahoma"/>
            <family val="2"/>
          </rPr>
          <t>TC 72-002.292.08-09 e http://www.tcm.sp.gov.br/relatorios/contas08/Raf-PMSP-2007/RelatCompleto.pdf</t>
        </r>
      </text>
    </comment>
    <comment ref="A7" authorId="1">
      <text>
        <r>
          <rPr>
            <b/>
            <sz val="9"/>
            <color indexed="81"/>
            <rFont val="Tahoma"/>
            <family val="2"/>
          </rPr>
          <t>TC 72-002.292.08-09 e http://www.tcm.sp.gov.br/relatorios/contas09/RELATRIO%20SFC.pdf</t>
        </r>
      </text>
    </comment>
    <comment ref="A8" authorId="1">
      <text>
        <r>
          <rPr>
            <b/>
            <sz val="9"/>
            <color indexed="81"/>
            <rFont val="Tahoma"/>
            <charset val="1"/>
          </rPr>
          <t>https://portal.tcm.sp.gov.br/Management/GestaoPublicacao/Documento?id=4853</t>
        </r>
      </text>
    </comment>
    <comment ref="A9" authorId="1">
      <text>
        <r>
          <rPr>
            <b/>
            <sz val="9"/>
            <color indexed="81"/>
            <rFont val="Tahoma"/>
            <family val="2"/>
          </rPr>
          <t>https://portal.tcm.sp.gov.br/Management/GestaoPublicacao/Documento?id=4855</t>
        </r>
      </text>
    </comment>
    <comment ref="A10" authorId="1">
      <text>
        <r>
          <rPr>
            <b/>
            <sz val="9"/>
            <color indexed="81"/>
            <rFont val="Tahoma"/>
            <family val="2"/>
          </rPr>
          <t>https://portal.tcm.sp.gov.br/Management/GestaoPublicacao/Documento?id=4858</t>
        </r>
      </text>
    </comment>
    <comment ref="A11" authorId="0">
      <text>
        <r>
          <rPr>
            <b/>
            <sz val="9"/>
            <color indexed="81"/>
            <rFont val="Segoe UI"/>
            <charset val="1"/>
          </rPr>
          <t>DOC ( http://www.docidadesp.imprensaoficial.com.br/ ), 12/09/2013, p. 78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12" authorId="1">
      <text>
        <r>
          <rPr>
            <b/>
            <sz val="9"/>
            <color indexed="81"/>
            <rFont val="Tahoma"/>
            <family val="2"/>
          </rPr>
          <t>DOC ( http://www.docidadesp.imprensaoficial.com.br/ ), 24/07/2014, p. 108</t>
        </r>
      </text>
    </comment>
    <comment ref="A13" authorId="1">
      <text>
        <r>
          <rPr>
            <b/>
            <sz val="9"/>
            <color indexed="81"/>
            <rFont val="Tahoma"/>
            <family val="2"/>
          </rPr>
          <t>https://portal.tcm.sp.gov.br/Management/GestaoPublicacao/Documento?id=4860</t>
        </r>
      </text>
    </comment>
    <comment ref="A14" authorId="1">
      <text>
        <r>
          <rPr>
            <b/>
            <sz val="9"/>
            <color indexed="81"/>
            <rFont val="Tahoma"/>
            <family val="2"/>
          </rPr>
          <t>https://portal.tcm.sp.gov.br/Management/GestaoPublicacao/Documento?id=4863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1">
      <text>
        <r>
          <rPr>
            <b/>
            <sz val="9"/>
            <color indexed="81"/>
            <rFont val="Tahoma"/>
            <family val="2"/>
          </rPr>
          <t>https://portal.tcm.sp.gov.br/Management/GestaoPublicacao/Documento?id=4869</t>
        </r>
      </text>
    </comment>
  </commentList>
</comments>
</file>

<file path=xl/comments3.xml><?xml version="1.0" encoding="utf-8"?>
<comments xmlns="http://schemas.openxmlformats.org/spreadsheetml/2006/main">
  <authors>
    <author>Rafael BAP</author>
    <author>Rafael Bianchini Abreu Paiva</author>
    <author>Rafael Bianchini</author>
  </authors>
  <commentList>
    <comment ref="A2" authorId="0">
      <text>
        <r>
          <rPr>
            <b/>
            <sz val="9"/>
            <color indexed="81"/>
            <rFont val="Segoe UI"/>
            <family val="2"/>
          </rPr>
          <t>DOC ( http://www.docidadesp.imprensaoficial.com.br/ ), 07/08/2009
, p. 95</t>
        </r>
      </text>
    </comment>
    <comment ref="A4" authorId="1">
      <text>
        <r>
          <rPr>
            <b/>
            <sz val="9"/>
            <color indexed="81"/>
            <rFont val="Tahoma"/>
            <charset val="1"/>
          </rPr>
          <t>http://www.tcm.sp.gov.br/relatorios/AnualFiscalizacao/7591000RA04RT001-10.pdf</t>
        </r>
      </text>
    </comment>
    <comment ref="A5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http://www.tcm.sp.gov.br/relatorios/AnualFiscalizacao/RelatorioAnualDeFiscalizacao2010.pdf</t>
        </r>
      </text>
    </comment>
    <comment ref="A6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http://www.tcm.sp.gov.br/relatorios/AnualFiscalizacao/RelatorioAnualDeFiscalizacao2011.pdf</t>
        </r>
      </text>
    </comment>
    <comment ref="A7" authorId="0">
      <text>
        <r>
          <rPr>
            <b/>
            <sz val="9"/>
            <color indexed="81"/>
            <rFont val="Segoe UI"/>
            <charset val="1"/>
          </rPr>
          <t>DOC ( http://www.docidadesp.imprensaoficial.com.br/ ), 12/09/2013, p. 78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8" authorId="1">
      <text>
        <r>
          <rPr>
            <b/>
            <sz val="9"/>
            <color indexed="81"/>
            <rFont val="Tahoma"/>
            <family val="2"/>
          </rPr>
          <t>DOC ( http://www.docidadesp.imprensaoficial.com.br/ ), 24/07/2014, p. 108</t>
        </r>
      </text>
    </comment>
    <comment ref="A9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http://www.tcm.sp.gov.br/relatorios/AnualFiscalizacao/RAF%202014v2.pdf</t>
        </r>
      </text>
    </comment>
    <comment ref="A10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1" authorId="1">
      <text>
        <r>
          <rPr>
            <b/>
            <sz val="9"/>
            <color indexed="81"/>
            <rFont val="Tahoma"/>
            <charset val="1"/>
          </rPr>
          <t>http://www.prefeitura.sp.gov.br/cidade/upload/Saude_6BIM_2016_prelim_1485790657.pdf</t>
        </r>
      </text>
    </comment>
    <comment ref="A24" authorId="2">
      <text>
        <r>
          <rPr>
            <b/>
            <sz val="9"/>
            <color indexed="81"/>
            <rFont val="Segoe UI"/>
            <charset val="1"/>
          </rPr>
          <t>http://www.prefeitura.sp.gov.br/cidade/upload/RD-Saude-1Bim2016-preliminar_1459541460.pdf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25" authorId="2">
      <text>
        <r>
          <rPr>
            <b/>
            <sz val="9"/>
            <color indexed="81"/>
            <rFont val="Segoe UI"/>
            <charset val="1"/>
          </rPr>
          <t>http://www.prefeitura.sp.gov.br/cidade/upload/SaudeDemonstrativo2bimestre_1469636571.pdf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26" authorId="1">
      <text>
        <r>
          <rPr>
            <b/>
            <sz val="9"/>
            <color indexed="81"/>
            <rFont val="Tahoma"/>
            <charset val="1"/>
          </rPr>
          <t>http://www.prefeitura.sp.gov.br/cidade/upload/Saude_%203Bim_1469649447.pdf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27" authorId="2">
      <text>
        <r>
          <rPr>
            <b/>
            <sz val="9"/>
            <color indexed="81"/>
            <rFont val="Segoe UI"/>
            <charset val="1"/>
          </rPr>
          <t>http://www.prefeitura.sp.gov.br/cidade/upload/Saude_4BIM_2016_1474911082.pdf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28" authorId="2">
      <text>
        <r>
          <rPr>
            <b/>
            <sz val="9"/>
            <color indexed="81"/>
            <rFont val="Segoe UI"/>
            <charset val="1"/>
          </rPr>
          <t>http://www.prefeitura.sp.gov.br/cidade/upload/5BIM_Out_1480427821.16%20SMS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29" authorId="1">
      <text>
        <r>
          <rPr>
            <b/>
            <sz val="9"/>
            <color indexed="81"/>
            <rFont val="Tahoma"/>
            <charset val="1"/>
          </rPr>
          <t>http://www.prefeitura.sp.gov.br/cidade/upload/Saude_6BIM_2016_prelim_1485790657.pdf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30" authorId="2">
      <text>
        <r>
          <rPr>
            <b/>
            <sz val="9"/>
            <color indexed="81"/>
            <rFont val="Segoe UI"/>
            <charset val="1"/>
          </rPr>
          <t>http://orcamento.sf.prefeitura.sp.gov.br/orcamento/uploads/2017/SaudeDemonstrativo1bimestre.pdf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31" authorId="2">
      <text>
        <r>
          <rPr>
            <b/>
            <sz val="9"/>
            <color indexed="81"/>
            <rFont val="Segoe UI"/>
            <charset val="1"/>
          </rPr>
          <t>http://orcamento.sf.prefeitura.sp.gov.br/orcamento/uploads/2017/SaudeDemonstrativo2bimestre.pdf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32" authorId="2">
      <text>
        <r>
          <rPr>
            <b/>
            <sz val="9"/>
            <color indexed="81"/>
            <rFont val="Segoe UI"/>
            <charset val="1"/>
          </rPr>
          <t>http://orcamento.sf.prefeitura.sp.gov.br/orcamento/uploads/2017/SaudeDemonstrativo3bimestre.pdf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33" authorId="2">
      <text>
        <r>
          <rPr>
            <sz val="9"/>
            <color indexed="81"/>
            <rFont val="Segoe UI"/>
            <charset val="1"/>
          </rPr>
          <t xml:space="preserve">http://orcamento.sf.prefeitura.sp.gov.br/orcamento/uploads/2017/SaudeDemonstrativo4bimestre.pdf
</t>
        </r>
      </text>
    </comment>
    <comment ref="A38" authorId="1">
      <text>
        <r>
          <rPr>
            <b/>
            <sz val="9"/>
            <color indexed="81"/>
            <rFont val="Tahoma"/>
            <charset val="1"/>
          </rPr>
          <t>http://www.tcm.sp.gov.br/relatorios/AnualFiscalizacao/7591000RA04RT001-10.pdf</t>
        </r>
      </text>
    </comment>
    <comment ref="A39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http://www.tcm.sp.gov.br/relatorios/AnualFiscalizacao/RelatorioAnualDeFiscalizacao2010.pdf</t>
        </r>
      </text>
    </comment>
    <comment ref="A40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http://www.tcm.sp.gov.br/relatorios/AnualFiscalizacao/RelatorioAnualDeFiscalizacao2011.pdf</t>
        </r>
      </text>
    </comment>
    <comment ref="A41" authorId="0">
      <text>
        <r>
          <rPr>
            <b/>
            <sz val="9"/>
            <color indexed="81"/>
            <rFont val="Segoe UI"/>
            <charset val="1"/>
          </rPr>
          <t>DOC ( http://www.docidadesp.imprensaoficial.com.br/ ), 12/09/2013, p. 78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42" authorId="1">
      <text>
        <r>
          <rPr>
            <b/>
            <sz val="9"/>
            <color indexed="81"/>
            <rFont val="Tahoma"/>
            <family val="2"/>
          </rPr>
          <t>DOC ( http://www.docidadesp.imprensaoficial.com.br/ ), 24/07/2014, p. 108</t>
        </r>
      </text>
    </comment>
    <comment ref="A43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http://www.tcm.sp.gov.br/relatorios/AnualFiscalizacao/RAF%202014v2.pdf</t>
        </r>
      </text>
    </comment>
    <comment ref="A44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45" authorId="1">
      <text>
        <r>
          <rPr>
            <b/>
            <sz val="9"/>
            <color indexed="81"/>
            <rFont val="Tahoma"/>
            <charset val="1"/>
          </rPr>
          <t>http://www.prefeitura.sp.gov.br/cidade/upload/Saude_6BIM_2016_prelim_1485790657.pdf</t>
        </r>
      </text>
    </comment>
  </commentList>
</comments>
</file>

<file path=xl/comments4.xml><?xml version="1.0" encoding="utf-8"?>
<comments xmlns="http://schemas.openxmlformats.org/spreadsheetml/2006/main">
  <authors>
    <author>Rafael Bianchini Abreu Paiva</author>
    <author>Rafael Bianchini</author>
  </authors>
  <commentList>
    <comment ref="D3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http://www.prefeitura.sp.gov.br/cidade/secretarias/upload/arquivos/secretarias/financas/contas-publicas/Balancete-Orcamentario-12-2005.pdf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N3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http://www.prefeitura.sp.gov.br/cidade/secretarias/upload/arquivos/secretarias/financas/contas-publicas/Balancete-Orcamentario-12-2005.pdf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4" authorId="0">
      <text>
        <r>
          <rPr>
            <b/>
            <sz val="9"/>
            <color indexed="81"/>
            <rFont val="Tahoma"/>
            <charset val="1"/>
          </rPr>
          <t xml:space="preserve">http://www.prefeitura.sp.gov.br/cidade/secretarias/upload/arquivos/secretarias/financas/contas-publicas/Balancete-Orcamentario-12-2006.pdf
</t>
        </r>
      </text>
    </comment>
    <comment ref="N4" authorId="0">
      <text>
        <r>
          <rPr>
            <b/>
            <sz val="9"/>
            <color indexed="81"/>
            <rFont val="Tahoma"/>
            <charset val="1"/>
          </rPr>
          <t xml:space="preserve">http://www.prefeitura.sp.gov.br/cidade/secretarias/upload/arquivos/secretarias/financas/contas-publicas/Balancete-Orcamentario-12-2006.pdf
</t>
        </r>
      </text>
    </comment>
    <comment ref="D5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http://www.prefeitura.sp.gov.br/cidade/secretarias/upload/arquivos/secretarias/financas/contas-publicas/Balanco-Orcamentario-Consolidado-Geral-2007.pdf</t>
        </r>
      </text>
    </comment>
    <comment ref="N5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http://www.prefeitura.sp.gov.br/cidade/secretarias/upload/arquivos/secretarias/financas/contas-publicas/Balanco-Orcamentario-Consolidado-Geral-2007.pdf</t>
        </r>
      </text>
    </comment>
    <comment ref="D6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http://www.prefeitura.sp.gov.br/cidade/secretarias/upload/arquivos/secretarias/financas/contas-publicas/Balanco-Orcamentario-Consolidado-Geral-2008.pdf</t>
        </r>
      </text>
    </comment>
    <comment ref="N6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http://www.prefeitura.sp.gov.br/cidade/secretarias/upload/arquivos/secretarias/financas/contas-publicas/Balanco-Orcamentario-Consolidado-Geral-2008.pdf</t>
        </r>
      </text>
    </comment>
    <comment ref="D7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http://www.prefeitura.sp.gov.br/cidade/secretarias/upload/arquivos/secretarias/financas/contas-publicas/Balanco-Orcamentario-Consolidado-Geral-2009.pdf</t>
        </r>
      </text>
    </comment>
    <comment ref="N7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http://www.prefeitura.sp.gov.br/cidade/secretarias/upload/arquivos/secretarias/financas/contas-publicas/Balanco-Orcamentario-Consolidado-Geral-2009.pdf</t>
        </r>
      </text>
    </comment>
    <comment ref="D8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http://www.prefeitura.sp.gov.br/cidade/secretarias/upload/arquivos/secretarias/financas/contas-publicas/Balanco-Orcamentario-Consolidado-Geral-2010.pdf</t>
        </r>
      </text>
    </comment>
    <comment ref="N8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http://www.prefeitura.sp.gov.br/cidade/secretarias/upload/arquivos/secretarias/financas/contas-publicas/Balanco-Orcamentario-Consolidado-Geral-2010.pdf</t>
        </r>
      </text>
    </comment>
    <comment ref="D9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http://www.prefeitura.sp.gov.br/cidade/secretarias/upload/arquivos/secretarias/financas/contas-publicas/Balanco-Orcamentario-Consolidado-Geral-2011.pdf</t>
        </r>
      </text>
    </comment>
    <comment ref="N9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http://www.prefeitura.sp.gov.br/cidade/secretarias/upload/arquivos/secretarias/financas/contas-publicas/Balanco-Orcamentario-Consolidado-Geral-2011.pdf</t>
        </r>
      </text>
    </comment>
    <comment ref="D10" authorId="0">
      <text>
        <r>
          <rPr>
            <b/>
            <sz val="9"/>
            <color indexed="81"/>
            <rFont val="Tahoma"/>
            <charset val="1"/>
          </rPr>
          <t>http://www.prefeitura.sp.gov.br/cidade/upload/BalancoOrcamentario_CONSOLIDADO-2012_1364485821.pdf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N10" authorId="0">
      <text>
        <r>
          <rPr>
            <b/>
            <sz val="9"/>
            <color indexed="81"/>
            <rFont val="Tahoma"/>
            <charset val="1"/>
          </rPr>
          <t>http://www.prefeitura.sp.gov.br/cidade/upload/BalancoOrcamentario_CONSOLIDADO-2012_1364485821.pdf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1" authorId="0">
      <text>
        <r>
          <rPr>
            <b/>
            <sz val="9"/>
            <color indexed="81"/>
            <rFont val="Tahoma"/>
            <charset val="1"/>
          </rPr>
          <t>http://www.prefeitura.sp.gov.br/cidade/upload/CONSOLIDADOOrcamentario2013_1396372278.pdf</t>
        </r>
      </text>
    </comment>
    <comment ref="N11" authorId="0">
      <text>
        <r>
          <rPr>
            <b/>
            <sz val="9"/>
            <color indexed="81"/>
            <rFont val="Tahoma"/>
            <charset val="1"/>
          </rPr>
          <t>http://www.prefeitura.sp.gov.br/cidade/upload/CONSOLIDADOOrcamentario2013_1396372278.pdf</t>
        </r>
      </text>
    </comment>
    <comment ref="D12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http://www.prefeitura.sp.gov.br/cidade/secretarias/upload/arquivos/secretarias/financas/contas-publicas/Balanco-Orcamentario-Consolidado-Geral-2014.pdf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N12" authorId="0">
      <text>
        <r>
          <rPr>
            <b/>
            <sz val="9"/>
            <color indexed="81"/>
            <rFont val="Tahoma"/>
            <charset val="1"/>
          </rPr>
          <t>http://www.prefeitura.sp.gov.br/cidade/secretarias/upload/arquivos/secretarias/financas/contas-publicas/Balanco-Orcamentario-Consolidado-Geral-2014.pdf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3" authorId="0">
      <text>
        <r>
          <rPr>
            <b/>
            <sz val="9"/>
            <color indexed="81"/>
            <rFont val="Tahoma"/>
            <charset val="1"/>
          </rPr>
          <t>http://www.prefeitura.sp.gov.br/cidade/upload/Balanco-Orcamentario-Consolidado-Geral-2015_1459268425.pdf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N13" authorId="0">
      <text>
        <r>
          <rPr>
            <b/>
            <sz val="9"/>
            <color indexed="81"/>
            <rFont val="Tahoma"/>
            <charset val="1"/>
          </rPr>
          <t>http://www.prefeitura.sp.gov.br/cidade/upload/Balanco-Orcamentario-Consolidado-Geral-2015_1459268425.pdf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4" authorId="0">
      <text>
        <r>
          <rPr>
            <b/>
            <sz val="9"/>
            <color indexed="81"/>
            <rFont val="Tahoma"/>
            <charset val="1"/>
          </rPr>
          <t>http://www.prefeitura.sp.gov.br/cidade/upload/03-Consolidado-2016-BalOrc_1490798486.pdf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N14" authorId="0">
      <text>
        <r>
          <rPr>
            <b/>
            <sz val="9"/>
            <color indexed="81"/>
            <rFont val="Tahoma"/>
            <charset val="1"/>
          </rPr>
          <t>http://www.prefeitura.sp.gov.br/cidade/upload/03-Consolidado-2016-BalOrc_1490798486.pdf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15" authorId="1">
      <text>
        <r>
          <rPr>
            <b/>
            <sz val="9"/>
            <color indexed="81"/>
            <rFont val="Segoe UI"/>
            <charset val="1"/>
          </rPr>
          <t>Lei 16.606/16 http://www.camara.sp.gov.br/wp-content/uploads/2017/01/Lei-16.608-Or%C3%A7amento-2017.D.O.30.12.16-p.1.pdf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D17" authorId="0">
      <text>
        <r>
          <rPr>
            <b/>
            <sz val="9"/>
            <color indexed="81"/>
            <rFont val="Tahoma"/>
            <charset val="1"/>
          </rPr>
          <t>http://www.prefeitura.sp.gov.br/cidade/upload/Balancete-orcamentario-09-2016_1480598737.pdf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>
      <text>
        <r>
          <rPr>
            <b/>
            <sz val="9"/>
            <color indexed="81"/>
            <rFont val="Tahoma"/>
            <charset val="1"/>
          </rPr>
          <t>http://www.prefeitura.sp.gov.br/cidade/upload/201709-balorc_1508523634.pdf</t>
        </r>
      </text>
    </comment>
  </commentList>
</comments>
</file>

<file path=xl/sharedStrings.xml><?xml version="1.0" encoding="utf-8"?>
<sst xmlns="http://schemas.openxmlformats.org/spreadsheetml/2006/main" count="85" uniqueCount="41">
  <si>
    <t>Impostos</t>
  </si>
  <si>
    <t>despesas liquidadas e as inscritas em restos a pagar não processados com disponibilidade financeira</t>
  </si>
  <si>
    <t>TCMSP</t>
  </si>
  <si>
    <t>PMSP</t>
  </si>
  <si>
    <t>despesas empenhadas</t>
  </si>
  <si>
    <t>MDE</t>
  </si>
  <si>
    <t>Educação inclusiva</t>
  </si>
  <si>
    <t>Inativos (rateio)</t>
  </si>
  <si>
    <t>Lei 15.963/14</t>
  </si>
  <si>
    <t>EC 29/2000</t>
  </si>
  <si>
    <t>MDE + EI</t>
  </si>
  <si>
    <t>MDE s/ inativos</t>
  </si>
  <si>
    <t>MDE c/ regra transição</t>
  </si>
  <si>
    <t>EI</t>
  </si>
  <si>
    <t>ME</t>
  </si>
  <si>
    <t>MDE + EI s/ inativos</t>
  </si>
  <si>
    <t>Inativos</t>
  </si>
  <si>
    <t>Total</t>
  </si>
  <si>
    <t>Portaria STN/559</t>
  </si>
  <si>
    <t>Despesas liquidadas</t>
  </si>
  <si>
    <t>Inativos da educação (2016)</t>
  </si>
  <si>
    <t>TC 72.000.803.17-68</t>
  </si>
  <si>
    <t xml:space="preserve">MDE </t>
  </si>
  <si>
    <t>EI (excluído)</t>
  </si>
  <si>
    <t>set/16-ago/17</t>
  </si>
  <si>
    <t>MDE não prioritária</t>
  </si>
  <si>
    <t>Livres</t>
  </si>
  <si>
    <t>Vinculados</t>
  </si>
  <si>
    <t>Disponibilidades</t>
  </si>
  <si>
    <t>2017*</t>
  </si>
  <si>
    <t>Orçado</t>
  </si>
  <si>
    <t>Realizado</t>
  </si>
  <si>
    <t>Corrente</t>
  </si>
  <si>
    <t>Capital</t>
  </si>
  <si>
    <t>http://www.prefeitura.sp.gov.br/cidade/secretarias/fazenda/contaspublicas/index.php?p=3218</t>
  </si>
  <si>
    <t>Orçada</t>
  </si>
  <si>
    <t>Obrigações financeiras de CP</t>
  </si>
  <si>
    <t>Despesas liquidadas/Receita de impostos</t>
  </si>
  <si>
    <t>Receita líquida de impostos</t>
  </si>
  <si>
    <t>Inativos da educação</t>
  </si>
  <si>
    <t>2017 (até ago)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</si>
</sst>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0.0%"/>
    <numFmt numFmtId="165" formatCode="_-* #,##0.000_-;\-* #,##0.000_-;_-* &quot;-&quot;??_-;_-@_-"/>
    <numFmt numFmtId="166" formatCode="0_ ;\-0\ "/>
    <numFmt numFmtId="167" formatCode="_-* #,##0_-;\-* #,##0_-;_-* &quot;-&quot;??_-;_-@_-"/>
  </numFmts>
  <fonts count="13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b/>
      <sz val="9"/>
      <color indexed="81"/>
      <name val="Segoe UI"/>
      <family val="2"/>
    </font>
    <font>
      <sz val="9"/>
      <color indexed="81"/>
      <name val="Tahoma"/>
      <charset val="1"/>
    </font>
    <font>
      <sz val="9"/>
      <color indexed="81"/>
      <name val="Segoe UI"/>
      <family val="2"/>
    </font>
    <font>
      <sz val="9"/>
      <color theme="1"/>
      <name val="Arial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29">
    <xf numFmtId="0" fontId="0" fillId="0" borderId="0" xfId="0"/>
    <xf numFmtId="43" fontId="0" fillId="0" borderId="0" xfId="1" applyFont="1"/>
    <xf numFmtId="0" fontId="2" fillId="0" borderId="0" xfId="0" applyFont="1" applyAlignment="1">
      <alignment horizontal="left"/>
    </xf>
    <xf numFmtId="0" fontId="2" fillId="0" borderId="0" xfId="0" applyFont="1"/>
    <xf numFmtId="43" fontId="2" fillId="0" borderId="0" xfId="1" applyFont="1"/>
    <xf numFmtId="10" fontId="0" fillId="0" borderId="0" xfId="2" applyNumberFormat="1" applyFont="1"/>
    <xf numFmtId="10" fontId="0" fillId="0" borderId="0" xfId="0" applyNumberFormat="1"/>
    <xf numFmtId="9" fontId="0" fillId="0" borderId="0" xfId="0" applyNumberFormat="1"/>
    <xf numFmtId="164" fontId="0" fillId="0" borderId="0" xfId="2" applyNumberFormat="1" applyFont="1"/>
    <xf numFmtId="9" fontId="0" fillId="0" borderId="0" xfId="0" applyNumberFormat="1" applyFont="1"/>
    <xf numFmtId="9" fontId="1" fillId="0" borderId="0" xfId="1" applyNumberFormat="1" applyFont="1"/>
    <xf numFmtId="3" fontId="0" fillId="0" borderId="0" xfId="0" applyNumberFormat="1"/>
    <xf numFmtId="10" fontId="0" fillId="0" borderId="0" xfId="1" applyNumberFormat="1" applyFont="1"/>
    <xf numFmtId="43" fontId="0" fillId="0" borderId="0" xfId="0" applyNumberFormat="1"/>
    <xf numFmtId="164" fontId="0" fillId="0" borderId="0" xfId="0" applyNumberFormat="1"/>
    <xf numFmtId="17" fontId="0" fillId="0" borderId="0" xfId="0" applyNumberFormat="1"/>
    <xf numFmtId="9" fontId="0" fillId="0" borderId="0" xfId="2" applyFont="1"/>
    <xf numFmtId="165" fontId="0" fillId="0" borderId="0" xfId="1" applyNumberFormat="1" applyFont="1"/>
    <xf numFmtId="4" fontId="0" fillId="0" borderId="0" xfId="0" applyNumberFormat="1"/>
    <xf numFmtId="166" fontId="0" fillId="0" borderId="0" xfId="1" applyNumberFormat="1" applyFont="1"/>
    <xf numFmtId="0" fontId="0" fillId="0" borderId="0" xfId="1" applyNumberFormat="1" applyFont="1"/>
    <xf numFmtId="43" fontId="11" fillId="0" borderId="0" xfId="1" applyFont="1"/>
    <xf numFmtId="0" fontId="0" fillId="0" borderId="0" xfId="0" applyAlignment="1">
      <alignment horizontal="center"/>
    </xf>
    <xf numFmtId="164" fontId="2" fillId="0" borderId="0" xfId="2" applyNumberFormat="1" applyFont="1"/>
    <xf numFmtId="167" fontId="0" fillId="0" borderId="0" xfId="0" applyNumberFormat="1"/>
    <xf numFmtId="0" fontId="12" fillId="0" borderId="0" xfId="3"/>
    <xf numFmtId="0" fontId="0" fillId="0" borderId="1" xfId="0" applyBorder="1"/>
    <xf numFmtId="3" fontId="0" fillId="0" borderId="1" xfId="0" applyNumberFormat="1" applyBorder="1"/>
    <xf numFmtId="0" fontId="0" fillId="0" borderId="0" xfId="0" applyAlignment="1">
      <alignment horizontal="center"/>
    </xf>
  </cellXfs>
  <cellStyles count="4">
    <cellStyle name="Hiperlink" xfId="3" builtinId="8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PMSP - Percentual dos impostos</a:t>
            </a:r>
            <a:r>
              <a:rPr lang="pt-BR" baseline="0"/>
              <a:t> gastos</a:t>
            </a:r>
            <a:r>
              <a:rPr lang="pt-BR"/>
              <a:t> com educação e educação inclusiva (LOM: 31%)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dPt>
            <c:idx val="10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838E-4CC2-850B-3FB99173E440}"/>
              </c:ext>
            </c:extLst>
          </c:dPt>
          <c:dPt>
            <c:idx val="11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838E-4CC2-850B-3FB99173E440}"/>
              </c:ext>
            </c:extLst>
          </c:dPt>
          <c:dPt>
            <c:idx val="12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838E-4CC2-850B-3FB99173E440}"/>
              </c:ext>
            </c:extLst>
          </c:dPt>
          <c:dPt>
            <c:idx val="13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838E-4CC2-850B-3FB99173E440}"/>
              </c:ext>
            </c:extLst>
          </c:dPt>
          <c:dPt>
            <c:idx val="14"/>
            <c:invertIfNegative val="0"/>
            <c:bubble3D val="0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A777-44F0-8047-12B158E6113F}"/>
              </c:ext>
            </c:extLst>
          </c:dPt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set/16-ago/17</c:v>
                </c:pt>
              </c:strCache>
            </c:strRef>
          </c:cat>
          <c:val>
            <c:numRef>
              <c:f>'Educação - Comparável'!$R$2:$R$16</c:f>
              <c:numCache>
                <c:formatCode>0.00%</c:formatCode>
                <c:ptCount val="15"/>
                <c:pt idx="0">
                  <c:v>0.32759760195380638</c:v>
                </c:pt>
                <c:pt idx="1">
                  <c:v>0.31215594165102428</c:v>
                </c:pt>
                <c:pt idx="2">
                  <c:v>0.33075371782314927</c:v>
                </c:pt>
                <c:pt idx="3">
                  <c:v>0.31828408837707867</c:v>
                </c:pt>
                <c:pt idx="4">
                  <c:v>0.32222594057035592</c:v>
                </c:pt>
                <c:pt idx="5">
                  <c:v>0.3177177628378331</c:v>
                </c:pt>
                <c:pt idx="6">
                  <c:v>0.32124775024284141</c:v>
                </c:pt>
                <c:pt idx="7">
                  <c:v>0.3207129140741759</c:v>
                </c:pt>
                <c:pt idx="8">
                  <c:v>0.31868197132092829</c:v>
                </c:pt>
                <c:pt idx="9">
                  <c:v>0.31203277780716521</c:v>
                </c:pt>
                <c:pt idx="10">
                  <c:v>0.31584460196906056</c:v>
                </c:pt>
                <c:pt idx="11">
                  <c:v>0.33798225311434266</c:v>
                </c:pt>
                <c:pt idx="12">
                  <c:v>0.34664153042474005</c:v>
                </c:pt>
                <c:pt idx="13">
                  <c:v>0.36612917878143736</c:v>
                </c:pt>
                <c:pt idx="14">
                  <c:v>0.3268787738007376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838E-4CC2-850B-3FB99173E4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8846208"/>
        <c:axId val="98847744"/>
      </c:barChart>
      <c:catAx>
        <c:axId val="98846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98847744"/>
        <c:crosses val="autoZero"/>
        <c:auto val="1"/>
        <c:lblAlgn val="ctr"/>
        <c:lblOffset val="100"/>
        <c:noMultiLvlLbl val="0"/>
      </c:catAx>
      <c:valAx>
        <c:axId val="98847744"/>
        <c:scaling>
          <c:orientation val="minMax"/>
          <c:max val="0.37000000000000005"/>
          <c:min val="0.3100000000000000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98846208"/>
        <c:crosses val="autoZero"/>
        <c:crossBetween val="between"/>
        <c:majorUnit val="1.0000000000000002E-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PMSP - Percentual dos impostos gastos com educação e educação inclusiva (LOM: 31%)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LOA - Inativos</c:v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set/16-ago/17</c:v>
                </c:pt>
              </c:strCache>
            </c:strRef>
          </c:cat>
          <c:val>
            <c:numRef>
              <c:f>'Educação - Comparável'!$M$2:$M$16</c:f>
              <c:numCache>
                <c:formatCode>0.00%</c:formatCode>
                <c:ptCount val="15"/>
                <c:pt idx="0">
                  <c:v>0.26206135700330002</c:v>
                </c:pt>
                <c:pt idx="1">
                  <c:v>0.24463766955775951</c:v>
                </c:pt>
                <c:pt idx="2">
                  <c:v>0.27918074400981874</c:v>
                </c:pt>
                <c:pt idx="3">
                  <c:v>0.29134496186103304</c:v>
                </c:pt>
                <c:pt idx="4">
                  <c:v>0.29240410428443586</c:v>
                </c:pt>
                <c:pt idx="5">
                  <c:v>0.28959358485032433</c:v>
                </c:pt>
                <c:pt idx="6">
                  <c:v>0.28798817652535008</c:v>
                </c:pt>
                <c:pt idx="7">
                  <c:v>0.28750466493310822</c:v>
                </c:pt>
                <c:pt idx="8">
                  <c:v>0.28567424022548649</c:v>
                </c:pt>
                <c:pt idx="9">
                  <c:v>0.27666363528427118</c:v>
                </c:pt>
                <c:pt idx="10">
                  <c:v>0.26910182442768488</c:v>
                </c:pt>
                <c:pt idx="11">
                  <c:v>0.29251237266114949</c:v>
                </c:pt>
                <c:pt idx="12">
                  <c:v>0.31028847716753349</c:v>
                </c:pt>
                <c:pt idx="13">
                  <c:v>0.29726898894442672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951-4C4C-A3C9-F34C47D0D189}"/>
            </c:ext>
          </c:extLst>
        </c:ser>
        <c:ser>
          <c:idx val="1"/>
          <c:order val="1"/>
          <c:tx>
            <c:v>Inativos</c:v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set/16-ago/17</c:v>
                </c:pt>
              </c:strCache>
            </c:strRef>
          </c:cat>
          <c:val>
            <c:numRef>
              <c:f>'Educação - Comparável'!$N$2:$N$16</c:f>
              <c:numCache>
                <c:formatCode>0.00%</c:formatCode>
                <c:ptCount val="15"/>
                <c:pt idx="0">
                  <c:v>6.5536244950506348E-2</c:v>
                </c:pt>
                <c:pt idx="1">
                  <c:v>6.7518272093264789E-2</c:v>
                </c:pt>
                <c:pt idx="2">
                  <c:v>5.1572973813330564E-2</c:v>
                </c:pt>
                <c:pt idx="3">
                  <c:v>2.6939126516045627E-2</c:v>
                </c:pt>
                <c:pt idx="4">
                  <c:v>2.9821836285920035E-2</c:v>
                </c:pt>
                <c:pt idx="5">
                  <c:v>2.8124177987508762E-2</c:v>
                </c:pt>
                <c:pt idx="6">
                  <c:v>3.3259573717491338E-2</c:v>
                </c:pt>
                <c:pt idx="7">
                  <c:v>3.3208249141067694E-2</c:v>
                </c:pt>
                <c:pt idx="8">
                  <c:v>3.3007731095441847E-2</c:v>
                </c:pt>
                <c:pt idx="9">
                  <c:v>3.536914252289404E-2</c:v>
                </c:pt>
                <c:pt idx="10">
                  <c:v>4.6742777541375645E-2</c:v>
                </c:pt>
                <c:pt idx="11">
                  <c:v>4.5469880453193119E-2</c:v>
                </c:pt>
                <c:pt idx="12">
                  <c:v>3.6353053257206586E-2</c:v>
                </c:pt>
                <c:pt idx="13">
                  <c:v>6.8860189837010602E-2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951-4C4C-A3C9-F34C47D0D189}"/>
            </c:ext>
          </c:extLst>
        </c:ser>
        <c:ser>
          <c:idx val="2"/>
          <c:order val="2"/>
          <c:tx>
            <c:v>Total</c:v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set/16-ago/17</c:v>
                </c:pt>
              </c:strCache>
            </c:strRef>
          </c:cat>
          <c:val>
            <c:numRef>
              <c:f>'Educação - Comparável'!$O$2:$O$16</c:f>
              <c:numCache>
                <c:formatCode>0.00%</c:formatCode>
                <c:ptCount val="15"/>
                <c:pt idx="14">
                  <c:v>0.3268787738007376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951-4C4C-A3C9-F34C47D0D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0506880"/>
        <c:axId val="40508416"/>
      </c:barChart>
      <c:catAx>
        <c:axId val="40506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40508416"/>
        <c:crosses val="autoZero"/>
        <c:auto val="1"/>
        <c:lblAlgn val="ctr"/>
        <c:lblOffset val="100"/>
        <c:noMultiLvlLbl val="0"/>
      </c:catAx>
      <c:valAx>
        <c:axId val="40508416"/>
        <c:scaling>
          <c:orientation val="minMax"/>
          <c:max val="0.37000000000000005"/>
          <c:min val="0.2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40506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PMSP - Composição</a:t>
            </a:r>
            <a:r>
              <a:rPr lang="pt-BR" sz="1200" baseline="0"/>
              <a:t> dos gastos com educação como percentual dos impostos (CF e LOM) </a:t>
            </a:r>
            <a:endParaRPr lang="pt-BR" sz="12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'Educação - Comparável'!$G$1</c:f>
              <c:strCache>
                <c:ptCount val="1"/>
                <c:pt idx="0">
                  <c:v>MDE s/ inativos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set/16-ago/17</c:v>
                </c:pt>
              </c:strCache>
            </c:strRef>
          </c:cat>
          <c:val>
            <c:numRef>
              <c:f>'Educação - Comparável'!$G$2:$G$16</c:f>
              <c:numCache>
                <c:formatCode>0.00%</c:formatCode>
                <c:ptCount val="15"/>
                <c:pt idx="4">
                  <c:v>0.23552491160558314</c:v>
                </c:pt>
                <c:pt idx="5">
                  <c:v>0.24111748092531834</c:v>
                </c:pt>
                <c:pt idx="6">
                  <c:v>0.24485946200627628</c:v>
                </c:pt>
                <c:pt idx="7">
                  <c:v>0.24119007978166171</c:v>
                </c:pt>
                <c:pt idx="8">
                  <c:v>0.24623142981639876</c:v>
                </c:pt>
                <c:pt idx="9">
                  <c:v>0.24455268994703305</c:v>
                </c:pt>
                <c:pt idx="10">
                  <c:v>0.23656703598591072</c:v>
                </c:pt>
                <c:pt idx="11">
                  <c:v>0.25915351110086399</c:v>
                </c:pt>
                <c:pt idx="12">
                  <c:v>0.26508091989709215</c:v>
                </c:pt>
                <c:pt idx="13">
                  <c:v>0.25945216363118129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89C-4F47-8959-65B3B21CC019}"/>
            </c:ext>
          </c:extLst>
        </c:ser>
        <c:ser>
          <c:idx val="1"/>
          <c:order val="1"/>
          <c:tx>
            <c:strRef>
              <c:f>'Educação - Comparável'!$H$1</c:f>
              <c:strCache>
                <c:ptCount val="1"/>
                <c:pt idx="0">
                  <c:v>EI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set/16-ago/17</c:v>
                </c:pt>
              </c:strCache>
            </c:strRef>
          </c:cat>
          <c:val>
            <c:numRef>
              <c:f>'Educação - Comparável'!$H$2:$H$16</c:f>
              <c:numCache>
                <c:formatCode>0.00%</c:formatCode>
                <c:ptCount val="15"/>
                <c:pt idx="4">
                  <c:v>5.6879192678852747E-2</c:v>
                </c:pt>
                <c:pt idx="5">
                  <c:v>4.8476103925005995E-2</c:v>
                </c:pt>
                <c:pt idx="6">
                  <c:v>4.3128714519073824E-2</c:v>
                </c:pt>
                <c:pt idx="7">
                  <c:v>4.631458515144652E-2</c:v>
                </c:pt>
                <c:pt idx="8">
                  <c:v>3.9442810409087717E-2</c:v>
                </c:pt>
                <c:pt idx="9">
                  <c:v>3.2110945337238128E-2</c:v>
                </c:pt>
                <c:pt idx="10">
                  <c:v>3.2534788441774168E-2</c:v>
                </c:pt>
                <c:pt idx="11">
                  <c:v>3.3358861560285537E-2</c:v>
                </c:pt>
                <c:pt idx="12">
                  <c:v>4.5207557270441331E-2</c:v>
                </c:pt>
                <c:pt idx="13">
                  <c:v>3.7816825313245428E-2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89C-4F47-8959-65B3B21CC019}"/>
            </c:ext>
          </c:extLst>
        </c:ser>
        <c:ser>
          <c:idx val="2"/>
          <c:order val="2"/>
          <c:tx>
            <c:strRef>
              <c:f>'Educação - Comparável'!$I$1</c:f>
              <c:strCache>
                <c:ptCount val="1"/>
                <c:pt idx="0">
                  <c:v>Inativos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set/16-ago/17</c:v>
                </c:pt>
              </c:strCache>
            </c:strRef>
          </c:cat>
          <c:val>
            <c:numRef>
              <c:f>'Educação - Comparável'!$I$2:$I$16</c:f>
              <c:numCache>
                <c:formatCode>0.00%</c:formatCode>
                <c:ptCount val="15"/>
                <c:pt idx="4">
                  <c:v>2.9821836285920035E-2</c:v>
                </c:pt>
                <c:pt idx="5">
                  <c:v>2.8124177987508762E-2</c:v>
                </c:pt>
                <c:pt idx="6">
                  <c:v>3.3259573717491338E-2</c:v>
                </c:pt>
                <c:pt idx="7">
                  <c:v>3.3208249141067694E-2</c:v>
                </c:pt>
                <c:pt idx="8">
                  <c:v>3.3007731095441847E-2</c:v>
                </c:pt>
                <c:pt idx="9">
                  <c:v>3.536914252289404E-2</c:v>
                </c:pt>
                <c:pt idx="10">
                  <c:v>4.6742777541375645E-2</c:v>
                </c:pt>
                <c:pt idx="11">
                  <c:v>4.5469880453193119E-2</c:v>
                </c:pt>
                <c:pt idx="12">
                  <c:v>3.6353053257206586E-2</c:v>
                </c:pt>
                <c:pt idx="13">
                  <c:v>6.8860189837010602E-2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789C-4F47-8959-65B3B21CC019}"/>
            </c:ext>
          </c:extLst>
        </c:ser>
        <c:ser>
          <c:idx val="3"/>
          <c:order val="3"/>
          <c:tx>
            <c:strRef>
              <c:f>'Educação - Comparável'!$J$1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set/16-ago/17</c:v>
                </c:pt>
              </c:strCache>
            </c:strRef>
          </c:cat>
          <c:val>
            <c:numRef>
              <c:f>'Educação - Comparável'!$J$2:$J$16</c:f>
              <c:numCache>
                <c:formatCode>0.00%</c:formatCode>
                <c:ptCount val="15"/>
                <c:pt idx="0">
                  <c:v>0.32759760195380638</c:v>
                </c:pt>
                <c:pt idx="1">
                  <c:v>0.31215594165102428</c:v>
                </c:pt>
                <c:pt idx="2">
                  <c:v>0.33075371782314927</c:v>
                </c:pt>
                <c:pt idx="3">
                  <c:v>0.31828408837707867</c:v>
                </c:pt>
                <c:pt idx="14" formatCode="0.0%">
                  <c:v>0.3268787738007376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789C-4F47-8959-65B3B21CC0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7205248"/>
        <c:axId val="40309504"/>
      </c:barChart>
      <c:catAx>
        <c:axId val="97205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40309504"/>
        <c:crosses val="autoZero"/>
        <c:auto val="1"/>
        <c:lblAlgn val="ctr"/>
        <c:lblOffset val="100"/>
        <c:noMultiLvlLbl val="0"/>
      </c:catAx>
      <c:valAx>
        <c:axId val="40309504"/>
        <c:scaling>
          <c:orientation val="minMax"/>
          <c:max val="0.37000000000000005"/>
          <c:min val="0.2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972052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PMSP: Percentual</a:t>
            </a:r>
            <a:r>
              <a:rPr lang="es-ES" baseline="0"/>
              <a:t> dos impostos gastos com manutenção e desenvolvimento de ensino</a:t>
            </a:r>
            <a:endParaRPr lang="es-ES"/>
          </a:p>
        </c:rich>
      </c:tx>
      <c:layout/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'Educação - Comparável'!$B$76</c:f>
              <c:strCache>
                <c:ptCount val="1"/>
                <c:pt idx="0">
                  <c:v>MDE</c:v>
                </c:pt>
              </c:strCache>
            </c:strRef>
          </c:tx>
          <c:spPr>
            <a:solidFill>
              <a:srgbClr val="002060"/>
            </a:solidFill>
          </c:spPr>
          <c:invertIfNegative val="0"/>
          <c:dPt>
            <c:idx val="10"/>
            <c:invertIfNegative val="0"/>
            <c:bubble3D val="0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</c:dPt>
          <c:cat>
            <c:strRef>
              <c:f>'Educação - Comparável'!$A$77:$A$87</c:f>
              <c:strCache>
                <c:ptCount val="11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 (até ago)</c:v>
                </c:pt>
              </c:strCache>
            </c:strRef>
          </c:cat>
          <c:val>
            <c:numRef>
              <c:f>'Educação - Comparável'!$B$77:$B$87</c:f>
              <c:numCache>
                <c:formatCode>0.00%</c:formatCode>
                <c:ptCount val="11"/>
                <c:pt idx="0">
                  <c:v>0.23552491160558314</c:v>
                </c:pt>
                <c:pt idx="1">
                  <c:v>0.24111748092531834</c:v>
                </c:pt>
                <c:pt idx="2">
                  <c:v>0.24485946200627628</c:v>
                </c:pt>
                <c:pt idx="3">
                  <c:v>0.24119007978166171</c:v>
                </c:pt>
                <c:pt idx="4">
                  <c:v>0.24623142981639876</c:v>
                </c:pt>
                <c:pt idx="5">
                  <c:v>0.24455268994703305</c:v>
                </c:pt>
                <c:pt idx="6">
                  <c:v>0.23656703598591072</c:v>
                </c:pt>
                <c:pt idx="7">
                  <c:v>0.25915351110086399</c:v>
                </c:pt>
                <c:pt idx="8">
                  <c:v>0.26508091989709215</c:v>
                </c:pt>
                <c:pt idx="9">
                  <c:v>0.25945216363118129</c:v>
                </c:pt>
                <c:pt idx="10">
                  <c:v>0.2386840790007986</c:v>
                </c:pt>
              </c:numCache>
            </c:numRef>
          </c:val>
        </c:ser>
        <c:ser>
          <c:idx val="1"/>
          <c:order val="1"/>
          <c:tx>
            <c:strRef>
              <c:f>'Educação - Comparável'!$C$76</c:f>
              <c:strCache>
                <c:ptCount val="1"/>
                <c:pt idx="0">
                  <c:v>Inativos da educação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'Educação - Comparável'!$A$77:$A$87</c:f>
              <c:strCache>
                <c:ptCount val="11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 (até ago)</c:v>
                </c:pt>
              </c:strCache>
            </c:strRef>
          </c:cat>
          <c:val>
            <c:numRef>
              <c:f>'Educação - Comparável'!$C$77:$C$87</c:f>
              <c:numCache>
                <c:formatCode>0.00%</c:formatCode>
                <c:ptCount val="11"/>
                <c:pt idx="0">
                  <c:v>5.6879192678852747E-2</c:v>
                </c:pt>
                <c:pt idx="1">
                  <c:v>4.8476103925005995E-2</c:v>
                </c:pt>
                <c:pt idx="2">
                  <c:v>4.3128714519073824E-2</c:v>
                </c:pt>
                <c:pt idx="3">
                  <c:v>4.631458515144652E-2</c:v>
                </c:pt>
                <c:pt idx="4">
                  <c:v>3.9442810409087717E-2</c:v>
                </c:pt>
                <c:pt idx="5">
                  <c:v>3.2110945337238128E-2</c:v>
                </c:pt>
                <c:pt idx="6">
                  <c:v>3.2534788441774168E-2</c:v>
                </c:pt>
                <c:pt idx="7">
                  <c:v>3.3358861560285537E-2</c:v>
                </c:pt>
                <c:pt idx="8">
                  <c:v>4.5207557270441331E-2</c:v>
                </c:pt>
                <c:pt idx="9">
                  <c:v>3.7816825313245428E-2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73840512"/>
        <c:axId val="73842048"/>
      </c:barChart>
      <c:catAx>
        <c:axId val="73840512"/>
        <c:scaling>
          <c:orientation val="minMax"/>
        </c:scaling>
        <c:delete val="0"/>
        <c:axPos val="b"/>
        <c:majorTickMark val="none"/>
        <c:minorTickMark val="none"/>
        <c:tickLblPos val="nextTo"/>
        <c:crossAx val="73842048"/>
        <c:crosses val="autoZero"/>
        <c:auto val="1"/>
        <c:lblAlgn val="ctr"/>
        <c:lblOffset val="100"/>
        <c:noMultiLvlLbl val="0"/>
      </c:catAx>
      <c:valAx>
        <c:axId val="73842048"/>
        <c:scaling>
          <c:orientation val="minMax"/>
          <c:max val="0.33000000000000007"/>
          <c:min val="0.23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crossAx val="73840512"/>
        <c:crosses val="autoZero"/>
        <c:crossBetween val="between"/>
        <c:majorUnit val="2.0000000000000004E-2"/>
      </c:valAx>
    </c:plotArea>
    <c:legend>
      <c:legendPos val="b"/>
      <c:layout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PMSP - Percentual dos impostos</a:t>
            </a:r>
            <a:r>
              <a:rPr lang="pt-BR" baseline="0"/>
              <a:t> gastos</a:t>
            </a:r>
            <a:r>
              <a:rPr lang="pt-BR"/>
              <a:t> com educação e educação inclusiva (LOM: 31%)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dPt>
            <c:idx val="10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838E-4CC2-850B-3FB99173E440}"/>
              </c:ext>
            </c:extLst>
          </c:dPt>
          <c:dPt>
            <c:idx val="11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838E-4CC2-850B-3FB99173E440}"/>
              </c:ext>
            </c:extLst>
          </c:dPt>
          <c:dPt>
            <c:idx val="12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838E-4CC2-850B-3FB99173E440}"/>
              </c:ext>
            </c:extLst>
          </c:dPt>
          <c:dPt>
            <c:idx val="13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838E-4CC2-850B-3FB99173E440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94B8-4B9A-BD88-2E7FBB01068A}"/>
              </c:ext>
            </c:extLst>
          </c:dPt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TCMSP'!$R$2:$R$16</c:f>
              <c:numCache>
                <c:formatCode>0.00%</c:formatCode>
                <c:ptCount val="15"/>
                <c:pt idx="0">
                  <c:v>0.32759760195380638</c:v>
                </c:pt>
                <c:pt idx="1">
                  <c:v>0.31215594165102428</c:v>
                </c:pt>
                <c:pt idx="2">
                  <c:v>0.33075371782314927</c:v>
                </c:pt>
                <c:pt idx="3">
                  <c:v>0.31828408837707867</c:v>
                </c:pt>
                <c:pt idx="4">
                  <c:v>0.32222594057035592</c:v>
                </c:pt>
                <c:pt idx="5">
                  <c:v>0.3177177628378331</c:v>
                </c:pt>
                <c:pt idx="6">
                  <c:v>0.32124775024284141</c:v>
                </c:pt>
                <c:pt idx="7">
                  <c:v>0.3207129140741759</c:v>
                </c:pt>
                <c:pt idx="8">
                  <c:v>0.31868197132092829</c:v>
                </c:pt>
                <c:pt idx="9">
                  <c:v>0.31203277780716521</c:v>
                </c:pt>
                <c:pt idx="10">
                  <c:v>0.31584460196906056</c:v>
                </c:pt>
                <c:pt idx="11">
                  <c:v>0.33798225311434266</c:v>
                </c:pt>
                <c:pt idx="12">
                  <c:v>0.34664153042474005</c:v>
                </c:pt>
                <c:pt idx="13">
                  <c:v>0.36612917878143736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838E-4CC2-850B-3FB99173E4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440192"/>
        <c:axId val="40441728"/>
      </c:barChart>
      <c:catAx>
        <c:axId val="40440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40441728"/>
        <c:crosses val="autoZero"/>
        <c:auto val="1"/>
        <c:lblAlgn val="ctr"/>
        <c:lblOffset val="100"/>
        <c:noMultiLvlLbl val="0"/>
      </c:catAx>
      <c:valAx>
        <c:axId val="40441728"/>
        <c:scaling>
          <c:orientation val="minMax"/>
          <c:max val="0.35000000000000003"/>
          <c:min val="0.2900000000000000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40440192"/>
        <c:crosses val="autoZero"/>
        <c:crossBetween val="between"/>
        <c:majorUnit val="1.0000000000000002E-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PMSP - Percentual dos impostos gastos com educação e educação inclusiva (LOM: 31%)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LOA - Inativos</c:v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TCMSP'!$M$2:$M$16</c:f>
              <c:numCache>
                <c:formatCode>0.00%</c:formatCode>
                <c:ptCount val="15"/>
                <c:pt idx="0">
                  <c:v>0.26206135700330002</c:v>
                </c:pt>
                <c:pt idx="1">
                  <c:v>0.24463766955775951</c:v>
                </c:pt>
                <c:pt idx="2">
                  <c:v>0.27918074400981874</c:v>
                </c:pt>
                <c:pt idx="3">
                  <c:v>0.29134496186103304</c:v>
                </c:pt>
                <c:pt idx="4">
                  <c:v>0.29240410428443586</c:v>
                </c:pt>
                <c:pt idx="5">
                  <c:v>0.28959358485032433</c:v>
                </c:pt>
                <c:pt idx="6">
                  <c:v>0.28798817652535008</c:v>
                </c:pt>
                <c:pt idx="7">
                  <c:v>0.28750466493310822</c:v>
                </c:pt>
                <c:pt idx="8">
                  <c:v>0.28567424022548649</c:v>
                </c:pt>
                <c:pt idx="9">
                  <c:v>0.27666363528427118</c:v>
                </c:pt>
                <c:pt idx="10">
                  <c:v>0.26910182442768488</c:v>
                </c:pt>
                <c:pt idx="11">
                  <c:v>0.29251237266114949</c:v>
                </c:pt>
                <c:pt idx="12">
                  <c:v>0.31028847716753349</c:v>
                </c:pt>
                <c:pt idx="13">
                  <c:v>0.29726898894442672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951-4C4C-A3C9-F34C47D0D189}"/>
            </c:ext>
          </c:extLst>
        </c:ser>
        <c:ser>
          <c:idx val="1"/>
          <c:order val="1"/>
          <c:tx>
            <c:v>Inativos</c:v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TCMSP'!$N$2:$N$16</c:f>
              <c:numCache>
                <c:formatCode>0.00%</c:formatCode>
                <c:ptCount val="15"/>
                <c:pt idx="0">
                  <c:v>6.5536244950506348E-2</c:v>
                </c:pt>
                <c:pt idx="1">
                  <c:v>6.7518272093264789E-2</c:v>
                </c:pt>
                <c:pt idx="2">
                  <c:v>5.1572973813330564E-2</c:v>
                </c:pt>
                <c:pt idx="3">
                  <c:v>2.6939126516045627E-2</c:v>
                </c:pt>
                <c:pt idx="4">
                  <c:v>2.9821836285920035E-2</c:v>
                </c:pt>
                <c:pt idx="5">
                  <c:v>2.8124177987508762E-2</c:v>
                </c:pt>
                <c:pt idx="6">
                  <c:v>3.3259573717491338E-2</c:v>
                </c:pt>
                <c:pt idx="7">
                  <c:v>3.3208249141067694E-2</c:v>
                </c:pt>
                <c:pt idx="8">
                  <c:v>3.3007731095441847E-2</c:v>
                </c:pt>
                <c:pt idx="9">
                  <c:v>3.536914252289404E-2</c:v>
                </c:pt>
                <c:pt idx="10">
                  <c:v>4.6742777541375645E-2</c:v>
                </c:pt>
                <c:pt idx="11">
                  <c:v>4.5469880453193119E-2</c:v>
                </c:pt>
                <c:pt idx="12">
                  <c:v>3.6353053257206586E-2</c:v>
                </c:pt>
                <c:pt idx="13">
                  <c:v>6.8860189837010602E-2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951-4C4C-A3C9-F34C47D0D189}"/>
            </c:ext>
          </c:extLst>
        </c:ser>
        <c:ser>
          <c:idx val="2"/>
          <c:order val="2"/>
          <c:tx>
            <c:v>Total</c:v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TCMSP'!$O$2:$O$5</c:f>
              <c:numCache>
                <c:formatCode>0.00%</c:formatCode>
                <c:ptCount val="4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951-4C4C-A3C9-F34C47D0D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1910656"/>
        <c:axId val="41912192"/>
      </c:barChart>
      <c:catAx>
        <c:axId val="41910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41912192"/>
        <c:crosses val="autoZero"/>
        <c:auto val="1"/>
        <c:lblAlgn val="ctr"/>
        <c:lblOffset val="100"/>
        <c:noMultiLvlLbl val="0"/>
      </c:catAx>
      <c:valAx>
        <c:axId val="41912192"/>
        <c:scaling>
          <c:orientation val="minMax"/>
          <c:max val="0.35000000000000003"/>
          <c:min val="0.2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41910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PMSP - Composição</a:t>
            </a:r>
            <a:r>
              <a:rPr lang="pt-BR" sz="1200" baseline="0"/>
              <a:t> dos gastos com educação como percentual dos impostos (CF e LOM) </a:t>
            </a:r>
            <a:endParaRPr lang="pt-BR" sz="1200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'Educação - TCMSP'!$G$1</c:f>
              <c:strCache>
                <c:ptCount val="1"/>
                <c:pt idx="0">
                  <c:v>MDE s/ inativos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TCMSP'!$G$2:$G$16</c:f>
              <c:numCache>
                <c:formatCode>0.00%</c:formatCode>
                <c:ptCount val="15"/>
                <c:pt idx="4">
                  <c:v>0.23552491160558314</c:v>
                </c:pt>
                <c:pt idx="5">
                  <c:v>0.24111748092531834</c:v>
                </c:pt>
                <c:pt idx="6">
                  <c:v>0.24485946200627628</c:v>
                </c:pt>
                <c:pt idx="7">
                  <c:v>0.24119007978166171</c:v>
                </c:pt>
                <c:pt idx="8">
                  <c:v>0.24623142981639876</c:v>
                </c:pt>
                <c:pt idx="9">
                  <c:v>0.24455268994703305</c:v>
                </c:pt>
                <c:pt idx="10">
                  <c:v>0.23656703598591072</c:v>
                </c:pt>
                <c:pt idx="11">
                  <c:v>0.25915351110086399</c:v>
                </c:pt>
                <c:pt idx="12">
                  <c:v>0.26508091989709215</c:v>
                </c:pt>
                <c:pt idx="13">
                  <c:v>0.25945216363118129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89C-4F47-8959-65B3B21CC019}"/>
            </c:ext>
          </c:extLst>
        </c:ser>
        <c:ser>
          <c:idx val="1"/>
          <c:order val="1"/>
          <c:tx>
            <c:strRef>
              <c:f>'Educação - TCMSP'!$H$1</c:f>
              <c:strCache>
                <c:ptCount val="1"/>
                <c:pt idx="0">
                  <c:v>EI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TCMSP'!$H$2:$H$16</c:f>
              <c:numCache>
                <c:formatCode>0.00%</c:formatCode>
                <c:ptCount val="15"/>
                <c:pt idx="4">
                  <c:v>5.6879192678852747E-2</c:v>
                </c:pt>
                <c:pt idx="5">
                  <c:v>4.8476103925005995E-2</c:v>
                </c:pt>
                <c:pt idx="6">
                  <c:v>4.3128714519073824E-2</c:v>
                </c:pt>
                <c:pt idx="7">
                  <c:v>4.631458515144652E-2</c:v>
                </c:pt>
                <c:pt idx="8">
                  <c:v>3.9442810409087717E-2</c:v>
                </c:pt>
                <c:pt idx="9">
                  <c:v>3.2110945337238128E-2</c:v>
                </c:pt>
                <c:pt idx="10">
                  <c:v>3.2534788441774168E-2</c:v>
                </c:pt>
                <c:pt idx="11">
                  <c:v>3.3358861560285537E-2</c:v>
                </c:pt>
                <c:pt idx="12">
                  <c:v>4.5207557270441331E-2</c:v>
                </c:pt>
                <c:pt idx="13">
                  <c:v>3.7816825313245428E-2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89C-4F47-8959-65B3B21CC019}"/>
            </c:ext>
          </c:extLst>
        </c:ser>
        <c:ser>
          <c:idx val="2"/>
          <c:order val="2"/>
          <c:tx>
            <c:strRef>
              <c:f>'Educação - TCMSP'!$I$1</c:f>
              <c:strCache>
                <c:ptCount val="1"/>
                <c:pt idx="0">
                  <c:v>Inativos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TCMSP'!$I$2:$I$16</c:f>
              <c:numCache>
                <c:formatCode>0.00%</c:formatCode>
                <c:ptCount val="15"/>
                <c:pt idx="4">
                  <c:v>2.9821836285920035E-2</c:v>
                </c:pt>
                <c:pt idx="5">
                  <c:v>2.8124177987508762E-2</c:v>
                </c:pt>
                <c:pt idx="6">
                  <c:v>3.3259573717491338E-2</c:v>
                </c:pt>
                <c:pt idx="7">
                  <c:v>3.3208249141067694E-2</c:v>
                </c:pt>
                <c:pt idx="8">
                  <c:v>3.3007731095441847E-2</c:v>
                </c:pt>
                <c:pt idx="9">
                  <c:v>3.536914252289404E-2</c:v>
                </c:pt>
                <c:pt idx="10">
                  <c:v>4.6742777541375645E-2</c:v>
                </c:pt>
                <c:pt idx="11">
                  <c:v>4.5469880453193119E-2</c:v>
                </c:pt>
                <c:pt idx="12">
                  <c:v>3.6353053257206586E-2</c:v>
                </c:pt>
                <c:pt idx="13">
                  <c:v>6.8860189837010602E-2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789C-4F47-8959-65B3B21CC019}"/>
            </c:ext>
          </c:extLst>
        </c:ser>
        <c:ser>
          <c:idx val="3"/>
          <c:order val="3"/>
          <c:tx>
            <c:strRef>
              <c:f>'Educação - TCMSP'!$J$1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TCMSP'!$J$2:$J$5</c:f>
              <c:numCache>
                <c:formatCode>0.00%</c:formatCode>
                <c:ptCount val="4"/>
                <c:pt idx="0">
                  <c:v>0.32759760195380638</c:v>
                </c:pt>
                <c:pt idx="1">
                  <c:v>0.31215594165102428</c:v>
                </c:pt>
                <c:pt idx="2">
                  <c:v>0.33075371782314927</c:v>
                </c:pt>
                <c:pt idx="3">
                  <c:v>0.31828408837707867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789C-4F47-8959-65B3B21CC0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0810368"/>
        <c:axId val="40811904"/>
      </c:barChart>
      <c:catAx>
        <c:axId val="40810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40811904"/>
        <c:crosses val="autoZero"/>
        <c:auto val="1"/>
        <c:lblAlgn val="ctr"/>
        <c:lblOffset val="100"/>
        <c:noMultiLvlLbl val="0"/>
      </c:catAx>
      <c:valAx>
        <c:axId val="40811904"/>
        <c:scaling>
          <c:orientation val="minMax"/>
          <c:max val="0.35000000000000003"/>
          <c:min val="0.2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40810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sz="1200" b="1" i="0" u="none" strike="noStrike" baseline="0">
                <a:effectLst/>
              </a:rPr>
              <a:t>PMSP - Percentual dos impostos gastos com saúde (LC 141/12, art. 7</a:t>
            </a:r>
            <a:r>
              <a:rPr lang="pt-BR" sz="1200" b="1" i="0" u="none" strike="noStrike" baseline="30000">
                <a:effectLst/>
              </a:rPr>
              <a:t>o</a:t>
            </a:r>
            <a:r>
              <a:rPr lang="pt-BR" sz="1200" b="1" i="0" u="none" strike="noStrike" baseline="0">
                <a:effectLst/>
              </a:rPr>
              <a:t>: 15%)</a:t>
            </a:r>
            <a:endParaRPr lang="es-E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</a:schemeClr>
            </a:solidFill>
            <a:ln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00E1-435F-B8DA-E2063F54DD18}"/>
              </c:ext>
            </c:extLst>
          </c:dPt>
          <c:dPt>
            <c:idx val="1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00E1-435F-B8DA-E2063F54DD18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00E1-435F-B8DA-E2063F54DD18}"/>
              </c:ext>
            </c:extLst>
          </c:dPt>
          <c:dPt>
            <c:idx val="3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00E1-435F-B8DA-E2063F54DD18}"/>
              </c:ext>
            </c:extLst>
          </c:dPt>
          <c:dPt>
            <c:idx val="4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00E1-435F-B8DA-E2063F54DD18}"/>
              </c:ext>
            </c:extLst>
          </c:dPt>
          <c:dPt>
            <c:idx val="5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00E1-435F-B8DA-E2063F54DD18}"/>
              </c:ext>
            </c:extLst>
          </c:dPt>
          <c:dPt>
            <c:idx val="6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D-00E1-435F-B8DA-E2063F54DD18}"/>
              </c:ext>
            </c:extLst>
          </c:dPt>
          <c:dPt>
            <c:idx val="7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F-00E1-435F-B8DA-E2063F54DD18}"/>
              </c:ext>
            </c:extLst>
          </c:dPt>
          <c:dPt>
            <c:idx val="8"/>
            <c:invertIfNegative val="0"/>
            <c:bubble3D val="0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00E1-435F-B8DA-E2063F54DD18}"/>
              </c:ext>
            </c:extLst>
          </c:dPt>
          <c:cat>
            <c:strRef>
              <c:f>Saúde!$A$4:$A$12</c:f>
              <c:strCache>
                <c:ptCount val="9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 (até ago)</c:v>
                </c:pt>
              </c:strCache>
            </c:strRef>
          </c:cat>
          <c:val>
            <c:numRef>
              <c:f>Saúde!$B$4:$B$12</c:f>
              <c:numCache>
                <c:formatCode>0.00%</c:formatCode>
                <c:ptCount val="9"/>
                <c:pt idx="0">
                  <c:v>0.1981</c:v>
                </c:pt>
                <c:pt idx="1">
                  <c:v>0.18559999999999999</c:v>
                </c:pt>
                <c:pt idx="2">
                  <c:v>0.183</c:v>
                </c:pt>
                <c:pt idx="3">
                  <c:v>0.18099999999999999</c:v>
                </c:pt>
                <c:pt idx="4">
                  <c:v>0.17760000000000001</c:v>
                </c:pt>
                <c:pt idx="5">
                  <c:v>0.1842</c:v>
                </c:pt>
                <c:pt idx="6">
                  <c:v>0.1946</c:v>
                </c:pt>
                <c:pt idx="7">
                  <c:v>0.22399883522702324</c:v>
                </c:pt>
                <c:pt idx="8">
                  <c:v>0.19765112741857271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2-00E1-435F-B8DA-E2063F54D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42105856"/>
        <c:axId val="42111744"/>
      </c:barChart>
      <c:catAx>
        <c:axId val="42105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2111744"/>
        <c:crosses val="autoZero"/>
        <c:auto val="1"/>
        <c:lblAlgn val="ctr"/>
        <c:lblOffset val="100"/>
        <c:noMultiLvlLbl val="0"/>
      </c:catAx>
      <c:valAx>
        <c:axId val="42111744"/>
        <c:scaling>
          <c:orientation val="minMax"/>
          <c:max val="0.23"/>
          <c:min val="0.15000000000000002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crossAx val="42105856"/>
        <c:crosses val="autoZero"/>
        <c:crossBetween val="between"/>
        <c:majorUnit val="2.0000000000000004E-2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pt-BR" sz="1200" b="1" i="0" baseline="0">
                <a:effectLst/>
              </a:rPr>
              <a:t>PMSP - Percentual dos impostos gastos com saúde (LC 141/12, art. 7</a:t>
            </a:r>
            <a:r>
              <a:rPr lang="pt-BR" sz="1200" b="1" i="0" baseline="30000">
                <a:effectLst/>
              </a:rPr>
              <a:t>o</a:t>
            </a:r>
            <a:r>
              <a:rPr lang="pt-BR" sz="1200" b="1" i="0" baseline="0">
                <a:effectLst/>
              </a:rPr>
              <a:t>: 15%)</a:t>
            </a:r>
            <a:endParaRPr lang="es-ES" sz="1200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</a:schemeClr>
            </a:solidFill>
            <a:ln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4E75-462F-A067-747EA6048DE6}"/>
              </c:ext>
            </c:extLst>
          </c:dPt>
          <c:dPt>
            <c:idx val="1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4E75-462F-A067-747EA6048DE6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4E75-462F-A067-747EA6048DE6}"/>
              </c:ext>
            </c:extLst>
          </c:dPt>
          <c:dPt>
            <c:idx val="3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4E75-462F-A067-747EA6048DE6}"/>
              </c:ext>
            </c:extLst>
          </c:dPt>
          <c:dPt>
            <c:idx val="4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4E75-462F-A067-747EA6048DE6}"/>
              </c:ext>
            </c:extLst>
          </c:dPt>
          <c:dPt>
            <c:idx val="5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4E75-462F-A067-747EA6048DE6}"/>
              </c:ext>
            </c:extLst>
          </c:dPt>
          <c:dPt>
            <c:idx val="6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D-4E75-462F-A067-747EA6048DE6}"/>
              </c:ext>
            </c:extLst>
          </c:dPt>
          <c:dPt>
            <c:idx val="7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F-4E75-462F-A067-747EA6048DE6}"/>
              </c:ext>
            </c:extLst>
          </c:dPt>
          <c:dPt>
            <c:idx val="8"/>
            <c:invertIfNegative val="0"/>
            <c:bubble3D val="0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4E75-462F-A067-747EA6048DE6}"/>
              </c:ext>
            </c:extLst>
          </c:dPt>
          <c:cat>
            <c:numRef>
              <c:f>Saúde!$A$38:$A$49</c:f>
              <c:numCache>
                <c:formatCode>General</c:formatCode>
                <c:ptCount val="12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 formatCode="mmm\-yy">
                  <c:v>42767</c:v>
                </c:pt>
                <c:pt idx="9" formatCode="mmm\-yy">
                  <c:v>42826</c:v>
                </c:pt>
                <c:pt idx="10" formatCode="mmm\-yy">
                  <c:v>42887</c:v>
                </c:pt>
                <c:pt idx="11" formatCode="mmm\-yy">
                  <c:v>42948</c:v>
                </c:pt>
              </c:numCache>
            </c:numRef>
          </c:cat>
          <c:val>
            <c:numRef>
              <c:f>Saúde!$E$38:$E$45</c:f>
              <c:numCache>
                <c:formatCode>0.00%</c:formatCode>
                <c:ptCount val="8"/>
                <c:pt idx="0">
                  <c:v>0.1981</c:v>
                </c:pt>
                <c:pt idx="1">
                  <c:v>0.18559999999999999</c:v>
                </c:pt>
                <c:pt idx="2">
                  <c:v>0.183</c:v>
                </c:pt>
                <c:pt idx="3">
                  <c:v>0.18099999999999999</c:v>
                </c:pt>
                <c:pt idx="4">
                  <c:v>0.17760000000000001</c:v>
                </c:pt>
                <c:pt idx="5">
                  <c:v>0.1842</c:v>
                </c:pt>
                <c:pt idx="6">
                  <c:v>0.1946</c:v>
                </c:pt>
                <c:pt idx="7">
                  <c:v>0.22399883522702324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2-4E75-462F-A067-747EA6048D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2219008"/>
        <c:axId val="42220544"/>
      </c:barChart>
      <c:lineChart>
        <c:grouping val="standard"/>
        <c:varyColors val="0"/>
        <c:ser>
          <c:idx val="1"/>
          <c:order val="1"/>
          <c:tx>
            <c:v>Ac. 12 meses</c:v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val>
            <c:numRef>
              <c:f>Saúde!$D$38:$D$49</c:f>
              <c:numCache>
                <c:formatCode>General</c:formatCode>
                <c:ptCount val="12"/>
                <c:pt idx="7" formatCode="0.00%">
                  <c:v>0.22399883522702324</c:v>
                </c:pt>
                <c:pt idx="8" formatCode="0.00%">
                  <c:v>0.22674983238048022</c:v>
                </c:pt>
                <c:pt idx="9" formatCode="0.00%">
                  <c:v>0.22388378343572382</c:v>
                </c:pt>
                <c:pt idx="10" formatCode="0.00%">
                  <c:v>0.21873544771409856</c:v>
                </c:pt>
                <c:pt idx="11" formatCode="0.00%">
                  <c:v>0.21330112927036768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3-4E75-462F-A067-747EA6048D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19008"/>
        <c:axId val="42220544"/>
      </c:lineChart>
      <c:catAx>
        <c:axId val="42219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2220544"/>
        <c:crosses val="autoZero"/>
        <c:auto val="1"/>
        <c:lblAlgn val="ctr"/>
        <c:lblOffset val="100"/>
        <c:noMultiLvlLbl val="0"/>
      </c:catAx>
      <c:valAx>
        <c:axId val="42220544"/>
        <c:scaling>
          <c:orientation val="minMax"/>
          <c:max val="0.23"/>
          <c:min val="0.15000000000000002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crossAx val="42219008"/>
        <c:crosses val="autoZero"/>
        <c:crossBetween val="between"/>
        <c:majorUnit val="2.0000000000000004E-2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PMSP:</a:t>
            </a:r>
            <a:r>
              <a:rPr lang="pt-BR" baseline="0"/>
              <a:t> Receitas orçadas x arrecadadas</a:t>
            </a:r>
            <a:endParaRPr lang="pt-BR"/>
          </a:p>
        </c:rich>
      </c:tx>
      <c:overlay val="0"/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Receitas!$O$2</c:f>
              <c:strCache>
                <c:ptCount val="1"/>
                <c:pt idx="0">
                  <c:v>Corrente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</c:spPr>
          <c:cat>
            <c:strRef>
              <c:f>Receitas!$N$3:$N$15</c:f>
              <c:strCache>
                <c:ptCount val="13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2017*</c:v>
                </c:pt>
              </c:strCache>
            </c:strRef>
          </c:cat>
          <c:val>
            <c:numRef>
              <c:f>Receitas!$O$3:$O$15</c:f>
              <c:numCache>
                <c:formatCode>_-* #,##0_-;\-* #,##0_-;_-* "-"??_-;_-@_-</c:formatCode>
                <c:ptCount val="13"/>
                <c:pt idx="0">
                  <c:v>14.758019494459999</c:v>
                </c:pt>
                <c:pt idx="1">
                  <c:v>17.333426274120001</c:v>
                </c:pt>
                <c:pt idx="2">
                  <c:v>20.134629479880001</c:v>
                </c:pt>
                <c:pt idx="3">
                  <c:v>23.28154407009</c:v>
                </c:pt>
                <c:pt idx="4">
                  <c:v>24.2553761064</c:v>
                </c:pt>
                <c:pt idx="5">
                  <c:v>27.67783469031</c:v>
                </c:pt>
                <c:pt idx="6">
                  <c:v>31.5819992365</c:v>
                </c:pt>
                <c:pt idx="7">
                  <c:v>34.85068870429</c:v>
                </c:pt>
                <c:pt idx="8">
                  <c:v>37.7106634919</c:v>
                </c:pt>
                <c:pt idx="9">
                  <c:v>40.699086092320002</c:v>
                </c:pt>
                <c:pt idx="10">
                  <c:v>46.712130922949996</c:v>
                </c:pt>
                <c:pt idx="11">
                  <c:v>46.131677376719999</c:v>
                </c:pt>
                <c:pt idx="12">
                  <c:v>48.572482963729996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E86-471E-92EC-425933D8E4B6}"/>
            </c:ext>
          </c:extLst>
        </c:ser>
        <c:ser>
          <c:idx val="1"/>
          <c:order val="1"/>
          <c:tx>
            <c:strRef>
              <c:f>Receitas!$P$2</c:f>
              <c:strCache>
                <c:ptCount val="1"/>
                <c:pt idx="0">
                  <c:v>Capital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accent6">
                  <a:lumMod val="75000"/>
                </a:schemeClr>
              </a:solidFill>
            </a:ln>
          </c:spPr>
          <c:cat>
            <c:strRef>
              <c:f>Receitas!$N$3:$N$15</c:f>
              <c:strCache>
                <c:ptCount val="13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2017*</c:v>
                </c:pt>
              </c:strCache>
            </c:strRef>
          </c:cat>
          <c:val>
            <c:numRef>
              <c:f>Receitas!$P$3:$P$15</c:f>
              <c:numCache>
                <c:formatCode>_-* #,##0_-;\-* #,##0_-;_-* "-"??_-;_-@_-</c:formatCode>
                <c:ptCount val="13"/>
                <c:pt idx="0">
                  <c:v>0.79790412303999991</c:v>
                </c:pt>
                <c:pt idx="1">
                  <c:v>0.35379508062999998</c:v>
                </c:pt>
                <c:pt idx="2">
                  <c:v>0.41698323502999995</c:v>
                </c:pt>
                <c:pt idx="3">
                  <c:v>0.77681929059999999</c:v>
                </c:pt>
                <c:pt idx="4">
                  <c:v>0.94872716759999998</c:v>
                </c:pt>
                <c:pt idx="5">
                  <c:v>2.74779302998</c:v>
                </c:pt>
                <c:pt idx="6">
                  <c:v>0.93469031140999992</c:v>
                </c:pt>
                <c:pt idx="7">
                  <c:v>2.8252053240999997</c:v>
                </c:pt>
                <c:pt idx="8">
                  <c:v>1.3267112637</c:v>
                </c:pt>
                <c:pt idx="9">
                  <c:v>1.0417867242800001</c:v>
                </c:pt>
                <c:pt idx="10">
                  <c:v>1.3901675687899999</c:v>
                </c:pt>
                <c:pt idx="11">
                  <c:v>1.3953858566500001</c:v>
                </c:pt>
                <c:pt idx="12">
                  <c:v>1.0784110053699998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EE86-471E-92EC-425933D8E4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158336"/>
        <c:axId val="42168320"/>
      </c:areaChart>
      <c:lineChart>
        <c:grouping val="stacked"/>
        <c:varyColors val="0"/>
        <c:ser>
          <c:idx val="2"/>
          <c:order val="2"/>
          <c:tx>
            <c:strRef>
              <c:f>Receitas!$Q$2</c:f>
              <c:strCache>
                <c:ptCount val="1"/>
                <c:pt idx="0">
                  <c:v>Orçada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strRef>
              <c:f>Receitas!$N$3:$N$15</c:f>
              <c:strCache>
                <c:ptCount val="13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2017*</c:v>
                </c:pt>
              </c:strCache>
            </c:strRef>
          </c:cat>
          <c:val>
            <c:numRef>
              <c:f>Receitas!$Q$3:$Q$15</c:f>
              <c:numCache>
                <c:formatCode>_-* #,##0_-;\-* #,##0_-;_-* "-"??_-;_-@_-</c:formatCode>
                <c:ptCount val="13"/>
                <c:pt idx="0">
                  <c:v>15.6916625</c:v>
                </c:pt>
                <c:pt idx="1">
                  <c:v>17.744914699999999</c:v>
                </c:pt>
                <c:pt idx="2">
                  <c:v>22.057269822999999</c:v>
                </c:pt>
                <c:pt idx="3">
                  <c:v>25.451013241999998</c:v>
                </c:pt>
                <c:pt idx="4">
                  <c:v>27.859941947999999</c:v>
                </c:pt>
                <c:pt idx="5">
                  <c:v>28.280581818000002</c:v>
                </c:pt>
                <c:pt idx="6">
                  <c:v>35.998600648999997</c:v>
                </c:pt>
                <c:pt idx="7">
                  <c:v>39.118792685999999</c:v>
                </c:pt>
                <c:pt idx="8">
                  <c:v>42.362553867999999</c:v>
                </c:pt>
                <c:pt idx="9">
                  <c:v>50.860151807000001</c:v>
                </c:pt>
                <c:pt idx="10">
                  <c:v>51.393748121000002</c:v>
                </c:pt>
                <c:pt idx="11">
                  <c:v>54.407300347000003</c:v>
                </c:pt>
                <c:pt idx="12">
                  <c:v>54.694563143000003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EE86-471E-92EC-425933D8E4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158336"/>
        <c:axId val="42168320"/>
      </c:lineChart>
      <c:catAx>
        <c:axId val="4215833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000"/>
            </a:pPr>
            <a:endParaRPr lang="es-ES"/>
          </a:p>
        </c:txPr>
        <c:crossAx val="42168320"/>
        <c:crosses val="autoZero"/>
        <c:auto val="1"/>
        <c:lblAlgn val="ctr"/>
        <c:lblOffset val="100"/>
        <c:noMultiLvlLbl val="0"/>
      </c:catAx>
      <c:valAx>
        <c:axId val="42168320"/>
        <c:scaling>
          <c:orientation val="minMax"/>
        </c:scaling>
        <c:delete val="0"/>
        <c:axPos val="l"/>
        <c:majorGridlines/>
        <c:numFmt formatCode="_-* #,##0_-;\-* #,##0_-;_-* &quot;-&quot;??_-;_-@_-" sourceLinked="1"/>
        <c:majorTickMark val="none"/>
        <c:minorTickMark val="none"/>
        <c:tickLblPos val="nextTo"/>
        <c:spPr>
          <a:ln w="9525">
            <a:noFill/>
          </a:ln>
        </c:spPr>
        <c:crossAx val="42158336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19</xdr:row>
      <xdr:rowOff>0</xdr:rowOff>
    </xdr:from>
    <xdr:to>
      <xdr:col>4</xdr:col>
      <xdr:colOff>942975</xdr:colOff>
      <xdr:row>35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19</xdr:row>
      <xdr:rowOff>0</xdr:rowOff>
    </xdr:from>
    <xdr:to>
      <xdr:col>12</xdr:col>
      <xdr:colOff>590550</xdr:colOff>
      <xdr:row>35</xdr:row>
      <xdr:rowOff>152400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37</xdr:row>
      <xdr:rowOff>0</xdr:rowOff>
    </xdr:from>
    <xdr:to>
      <xdr:col>4</xdr:col>
      <xdr:colOff>885825</xdr:colOff>
      <xdr:row>53</xdr:row>
      <xdr:rowOff>152400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428625</xdr:colOff>
      <xdr:row>75</xdr:row>
      <xdr:rowOff>33337</xdr:rowOff>
    </xdr:from>
    <xdr:to>
      <xdr:col>7</xdr:col>
      <xdr:colOff>285750</xdr:colOff>
      <xdr:row>92</xdr:row>
      <xdr:rowOff>23812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19</xdr:row>
      <xdr:rowOff>0</xdr:rowOff>
    </xdr:from>
    <xdr:to>
      <xdr:col>4</xdr:col>
      <xdr:colOff>885825</xdr:colOff>
      <xdr:row>35</xdr:row>
      <xdr:rowOff>152400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19</xdr:row>
      <xdr:rowOff>0</xdr:rowOff>
    </xdr:from>
    <xdr:to>
      <xdr:col>12</xdr:col>
      <xdr:colOff>590550</xdr:colOff>
      <xdr:row>35</xdr:row>
      <xdr:rowOff>152400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37</xdr:row>
      <xdr:rowOff>0</xdr:rowOff>
    </xdr:from>
    <xdr:to>
      <xdr:col>4</xdr:col>
      <xdr:colOff>885825</xdr:colOff>
      <xdr:row>53</xdr:row>
      <xdr:rowOff>152400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</xdr:row>
      <xdr:rowOff>0</xdr:rowOff>
    </xdr:from>
    <xdr:to>
      <xdr:col>10</xdr:col>
      <xdr:colOff>1104900</xdr:colOff>
      <xdr:row>18</xdr:row>
      <xdr:rowOff>19050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xmlns="" id="{771ED75D-1407-4FAD-860C-8F6F57949F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36</xdr:row>
      <xdr:rowOff>0</xdr:rowOff>
    </xdr:from>
    <xdr:to>
      <xdr:col>10</xdr:col>
      <xdr:colOff>1104900</xdr:colOff>
      <xdr:row>53</xdr:row>
      <xdr:rowOff>38100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xmlns="" id="{7C0B8A11-947C-40F5-A0BE-A944955C44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16</xdr:row>
      <xdr:rowOff>52387</xdr:rowOff>
    </xdr:from>
    <xdr:to>
      <xdr:col>17</xdr:col>
      <xdr:colOff>276225</xdr:colOff>
      <xdr:row>33</xdr:row>
      <xdr:rowOff>42862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prefeitura.sp.gov.br/cidade/secretarias/fazenda/contaspublicas/index.php?p=3218" TargetMode="External"/><Relationship Id="rId5" Type="http://schemas.openxmlformats.org/officeDocument/2006/relationships/comments" Target="../comments4.xml"/><Relationship Id="rId4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87"/>
  <sheetViews>
    <sheetView tabSelected="1" topLeftCell="A46" zoomScaleNormal="100" workbookViewId="0">
      <selection activeCell="B72" sqref="B72"/>
    </sheetView>
  </sheetViews>
  <sheetFormatPr defaultRowHeight="12.75" x14ac:dyDescent="0.2"/>
  <cols>
    <col min="1" max="1" width="9.7109375" bestFit="1" customWidth="1"/>
    <col min="2" max="3" width="17.85546875" bestFit="1" customWidth="1"/>
    <col min="4" max="4" width="19.85546875" bestFit="1" customWidth="1"/>
    <col min="5" max="5" width="17.85546875" bestFit="1" customWidth="1"/>
    <col min="6" max="6" width="16.5703125" bestFit="1" customWidth="1"/>
    <col min="7" max="7" width="16.42578125" bestFit="1" customWidth="1"/>
    <col min="8" max="8" width="6.28515625" bestFit="1" customWidth="1"/>
    <col min="9" max="9" width="9.140625" bestFit="1" customWidth="1"/>
    <col min="10" max="10" width="7.28515625" bestFit="1" customWidth="1"/>
    <col min="11" max="12" width="9.140625" customWidth="1"/>
    <col min="13" max="13" width="20" bestFit="1" customWidth="1"/>
    <col min="14" max="14" width="9.140625" bestFit="1" customWidth="1"/>
    <col min="15" max="16" width="9.140625" customWidth="1"/>
    <col min="17" max="17" width="23" customWidth="1"/>
    <col min="18" max="18" width="10.140625" customWidth="1"/>
  </cols>
  <sheetData>
    <row r="1" spans="1:24" x14ac:dyDescent="0.2">
      <c r="B1" s="3" t="s">
        <v>0</v>
      </c>
      <c r="C1" s="3" t="s">
        <v>5</v>
      </c>
      <c r="D1" s="4" t="s">
        <v>6</v>
      </c>
      <c r="E1" s="4" t="s">
        <v>10</v>
      </c>
      <c r="F1" s="4" t="s">
        <v>7</v>
      </c>
      <c r="G1" s="4" t="s">
        <v>11</v>
      </c>
      <c r="H1" s="4" t="s">
        <v>13</v>
      </c>
      <c r="I1" s="4" t="s">
        <v>16</v>
      </c>
      <c r="J1" s="4" t="s">
        <v>17</v>
      </c>
      <c r="K1" s="4"/>
      <c r="L1" s="4"/>
      <c r="M1" s="4" t="s">
        <v>15</v>
      </c>
      <c r="N1" s="4" t="s">
        <v>16</v>
      </c>
      <c r="O1" s="4" t="s">
        <v>17</v>
      </c>
      <c r="P1" s="4"/>
      <c r="Q1" s="4" t="s">
        <v>12</v>
      </c>
      <c r="R1" s="4" t="s">
        <v>10</v>
      </c>
      <c r="S1" s="3" t="s">
        <v>14</v>
      </c>
      <c r="T1" t="s">
        <v>13</v>
      </c>
      <c r="W1" t="s">
        <v>2</v>
      </c>
      <c r="X1" t="s">
        <v>1</v>
      </c>
    </row>
    <row r="2" spans="1:24" ht="12.95" x14ac:dyDescent="0.3">
      <c r="A2" s="2">
        <v>2003</v>
      </c>
      <c r="B2" s="1">
        <v>8490818423</v>
      </c>
      <c r="C2" s="1"/>
      <c r="D2" s="1"/>
      <c r="E2" s="1">
        <v>2781571754</v>
      </c>
      <c r="F2" s="1">
        <v>556456356</v>
      </c>
      <c r="G2" s="5"/>
      <c r="H2" s="5"/>
      <c r="I2" s="5"/>
      <c r="J2" s="5">
        <f>E2/B2</f>
        <v>0.32759760195380638</v>
      </c>
      <c r="K2" s="5"/>
      <c r="L2" s="5"/>
      <c r="M2" s="5">
        <f>(E2-F2)/B2</f>
        <v>0.26206135700330002</v>
      </c>
      <c r="N2" s="5">
        <f>F2/B2</f>
        <v>6.5536244950506348E-2</v>
      </c>
      <c r="O2" s="5"/>
      <c r="P2" s="5"/>
      <c r="Q2" s="8"/>
      <c r="R2" s="5">
        <f>E2/B2</f>
        <v>0.32759760195380638</v>
      </c>
      <c r="S2" s="9">
        <v>1</v>
      </c>
      <c r="T2" s="9">
        <f>100%-S2</f>
        <v>0</v>
      </c>
      <c r="W2" t="s">
        <v>3</v>
      </c>
      <c r="X2" t="s">
        <v>4</v>
      </c>
    </row>
    <row r="3" spans="1:24" ht="12.95" x14ac:dyDescent="0.3">
      <c r="A3" s="2">
        <v>2004</v>
      </c>
      <c r="B3" s="1">
        <v>9647894056</v>
      </c>
      <c r="C3" s="1"/>
      <c r="D3" s="1"/>
      <c r="E3" s="1">
        <v>3011647454</v>
      </c>
      <c r="F3" s="1">
        <v>651409136</v>
      </c>
      <c r="G3" s="5"/>
      <c r="H3" s="5"/>
      <c r="I3" s="5"/>
      <c r="J3" s="5">
        <f t="shared" ref="J3:J4" si="0">E3/B3</f>
        <v>0.31215594165102428</v>
      </c>
      <c r="K3" s="5"/>
      <c r="L3" s="5"/>
      <c r="M3" s="5">
        <f t="shared" ref="M3:M13" si="1">(E3-F3)/B3</f>
        <v>0.24463766955775951</v>
      </c>
      <c r="N3" s="5">
        <f t="shared" ref="N3:N14" si="2">F3/B3</f>
        <v>6.7518272093264789E-2</v>
      </c>
      <c r="O3" s="5"/>
      <c r="P3" s="5"/>
      <c r="Q3" s="8"/>
      <c r="R3" s="5">
        <f t="shared" ref="R3:R16" si="3">E3/B3</f>
        <v>0.31215594165102428</v>
      </c>
      <c r="S3" s="9">
        <v>1</v>
      </c>
      <c r="T3" s="9">
        <f t="shared" ref="T3:T17" si="4">100%-S3</f>
        <v>0</v>
      </c>
      <c r="W3" t="s">
        <v>18</v>
      </c>
    </row>
    <row r="4" spans="1:24" ht="12.95" x14ac:dyDescent="0.3">
      <c r="A4" s="2">
        <v>2005</v>
      </c>
      <c r="B4" s="1">
        <v>10967300316</v>
      </c>
      <c r="C4" s="1"/>
      <c r="D4" s="1"/>
      <c r="E4" s="1">
        <v>3627475354</v>
      </c>
      <c r="F4" s="1">
        <v>565616292</v>
      </c>
      <c r="G4" s="5"/>
      <c r="H4" s="5"/>
      <c r="I4" s="5"/>
      <c r="J4" s="5">
        <f t="shared" si="0"/>
        <v>0.33075371782314927</v>
      </c>
      <c r="K4" s="5"/>
      <c r="L4" s="5"/>
      <c r="M4" s="5">
        <f t="shared" si="1"/>
        <v>0.27918074400981874</v>
      </c>
      <c r="N4" s="5">
        <f t="shared" si="2"/>
        <v>5.1572973813330564E-2</v>
      </c>
      <c r="O4" s="5"/>
      <c r="P4" s="5"/>
      <c r="Q4" s="8"/>
      <c r="R4" s="5">
        <f t="shared" si="3"/>
        <v>0.33075371782314927</v>
      </c>
      <c r="S4" s="9">
        <v>1</v>
      </c>
      <c r="T4" s="9">
        <f t="shared" si="4"/>
        <v>0</v>
      </c>
    </row>
    <row r="5" spans="1:24" ht="12.95" x14ac:dyDescent="0.3">
      <c r="A5" s="2">
        <v>2006</v>
      </c>
      <c r="B5" s="1">
        <v>13105997360</v>
      </c>
      <c r="C5" s="11"/>
      <c r="D5" s="1"/>
      <c r="E5" s="1">
        <v>4171430422</v>
      </c>
      <c r="F5" s="1">
        <v>353064121</v>
      </c>
      <c r="G5" s="5"/>
      <c r="H5" s="5"/>
      <c r="I5" s="5"/>
      <c r="J5" s="5">
        <f>E5/B5</f>
        <v>0.31828408837707867</v>
      </c>
      <c r="K5" s="5"/>
      <c r="L5" s="5"/>
      <c r="M5" s="5">
        <f t="shared" si="1"/>
        <v>0.29134496186103304</v>
      </c>
      <c r="N5" s="5">
        <f t="shared" si="2"/>
        <v>2.6939126516045627E-2</v>
      </c>
      <c r="O5" s="5"/>
      <c r="P5" s="5"/>
      <c r="Q5" s="8"/>
      <c r="R5" s="5">
        <f t="shared" si="3"/>
        <v>0.31828408837707867</v>
      </c>
      <c r="S5" s="9">
        <v>1</v>
      </c>
      <c r="T5" s="9">
        <f t="shared" si="4"/>
        <v>0</v>
      </c>
    </row>
    <row r="6" spans="1:24" ht="12.95" x14ac:dyDescent="0.3">
      <c r="A6" s="2">
        <v>2007</v>
      </c>
      <c r="B6" s="1">
        <v>14869730145</v>
      </c>
      <c r="C6" s="1">
        <v>3945634536</v>
      </c>
      <c r="D6" s="1">
        <v>845778246</v>
      </c>
      <c r="E6" s="1">
        <f t="shared" ref="E6:E7" si="5">D6+C6</f>
        <v>4791412782</v>
      </c>
      <c r="F6" s="1">
        <v>443442658</v>
      </c>
      <c r="G6" s="5">
        <f t="shared" ref="G6:G11" si="6">(C6-F6*S6)/B6</f>
        <v>0.23552491160558314</v>
      </c>
      <c r="H6" s="5">
        <f>(D6-T6*F6)/B6</f>
        <v>5.6879192678852747E-2</v>
      </c>
      <c r="I6" s="5">
        <f t="shared" ref="I6:I15" si="7">F6/B6</f>
        <v>2.9821836285920035E-2</v>
      </c>
      <c r="J6" s="5"/>
      <c r="K6" s="5"/>
      <c r="L6" s="5"/>
      <c r="M6" s="5">
        <f t="shared" si="1"/>
        <v>0.29240410428443586</v>
      </c>
      <c r="N6" s="5">
        <f t="shared" si="2"/>
        <v>2.9821836285920035E-2</v>
      </c>
      <c r="O6" s="5"/>
      <c r="P6" s="5"/>
      <c r="Q6" s="5">
        <f t="shared" ref="Q6:Q16" si="8">C6/B6</f>
        <v>0.2653467478915032</v>
      </c>
      <c r="R6" s="5">
        <f t="shared" si="3"/>
        <v>0.32222594057035592</v>
      </c>
      <c r="S6" s="9">
        <v>1</v>
      </c>
      <c r="T6" s="9">
        <f t="shared" si="4"/>
        <v>0</v>
      </c>
    </row>
    <row r="7" spans="1:24" ht="12.95" x14ac:dyDescent="0.3">
      <c r="A7" s="2">
        <v>2008</v>
      </c>
      <c r="B7" s="1">
        <v>16831762166</v>
      </c>
      <c r="C7" s="1">
        <v>4531811568</v>
      </c>
      <c r="D7" s="1">
        <v>815938252</v>
      </c>
      <c r="E7" s="1">
        <f t="shared" si="5"/>
        <v>5347749820</v>
      </c>
      <c r="F7" s="1">
        <v>473379475</v>
      </c>
      <c r="G7" s="5">
        <f t="shared" si="6"/>
        <v>0.24111748092531834</v>
      </c>
      <c r="H7" s="5">
        <f t="shared" ref="H7:H14" si="9">(D7-T7*F7)/B7</f>
        <v>4.8476103925005995E-2</v>
      </c>
      <c r="I7" s="5">
        <f t="shared" si="7"/>
        <v>2.8124177987508762E-2</v>
      </c>
      <c r="J7" s="5"/>
      <c r="K7" s="5"/>
      <c r="L7" s="5"/>
      <c r="M7" s="5">
        <f t="shared" si="1"/>
        <v>0.28959358485032433</v>
      </c>
      <c r="N7" s="5">
        <f t="shared" si="2"/>
        <v>2.8124177987508762E-2</v>
      </c>
      <c r="O7" s="5"/>
      <c r="P7" s="5"/>
      <c r="Q7" s="5">
        <f t="shared" si="8"/>
        <v>0.26924165891282709</v>
      </c>
      <c r="R7" s="5">
        <f t="shared" si="3"/>
        <v>0.3177177628378331</v>
      </c>
      <c r="S7" s="9">
        <v>1</v>
      </c>
      <c r="T7" s="9">
        <f t="shared" si="4"/>
        <v>0</v>
      </c>
    </row>
    <row r="8" spans="1:24" ht="12.95" x14ac:dyDescent="0.3">
      <c r="A8" s="2">
        <v>2009</v>
      </c>
      <c r="B8" s="1">
        <v>17733070033</v>
      </c>
      <c r="C8" s="1">
        <v>4931904338</v>
      </c>
      <c r="D8" s="1">
        <v>764804515</v>
      </c>
      <c r="E8" s="1">
        <f>D8+C8</f>
        <v>5696708853</v>
      </c>
      <c r="F8" s="1">
        <v>589794350</v>
      </c>
      <c r="G8" s="5">
        <f t="shared" si="6"/>
        <v>0.24485946200627628</v>
      </c>
      <c r="H8" s="5">
        <f t="shared" si="9"/>
        <v>4.3128714519073824E-2</v>
      </c>
      <c r="I8" s="5">
        <f t="shared" si="7"/>
        <v>3.3259573717491338E-2</v>
      </c>
      <c r="J8" s="5"/>
      <c r="K8" s="5"/>
      <c r="L8" s="5"/>
      <c r="M8" s="5">
        <f t="shared" si="1"/>
        <v>0.28798817652535008</v>
      </c>
      <c r="N8" s="5">
        <f t="shared" si="2"/>
        <v>3.3259573717491338E-2</v>
      </c>
      <c r="O8" s="5"/>
      <c r="P8" s="5"/>
      <c r="Q8" s="5">
        <f t="shared" si="8"/>
        <v>0.27811903572376762</v>
      </c>
      <c r="R8" s="5">
        <f t="shared" si="3"/>
        <v>0.32124775024284141</v>
      </c>
      <c r="S8" s="10">
        <v>1</v>
      </c>
      <c r="T8" s="9">
        <f t="shared" si="4"/>
        <v>0</v>
      </c>
    </row>
    <row r="9" spans="1:24" ht="12.95" x14ac:dyDescent="0.3">
      <c r="A9" s="2">
        <f>1+A8</f>
        <v>2010</v>
      </c>
      <c r="B9" s="1">
        <v>20887172493</v>
      </c>
      <c r="C9" s="1">
        <v>5731405228</v>
      </c>
      <c r="D9" s="1">
        <v>967380729</v>
      </c>
      <c r="E9" s="1">
        <f t="shared" ref="E9:E15" si="10">D9+C9</f>
        <v>6698785957</v>
      </c>
      <c r="F9" s="1">
        <v>693626428</v>
      </c>
      <c r="G9" s="5">
        <f t="shared" si="6"/>
        <v>0.24119007978166171</v>
      </c>
      <c r="H9" s="5">
        <f t="shared" si="9"/>
        <v>4.631458515144652E-2</v>
      </c>
      <c r="I9" s="5">
        <f t="shared" si="7"/>
        <v>3.3208249141067694E-2</v>
      </c>
      <c r="J9" s="5"/>
      <c r="K9" s="5"/>
      <c r="L9" s="5"/>
      <c r="M9" s="5">
        <f t="shared" si="1"/>
        <v>0.28750466493310822</v>
      </c>
      <c r="N9" s="5">
        <f t="shared" si="2"/>
        <v>3.3208249141067694E-2</v>
      </c>
      <c r="O9" s="5"/>
      <c r="P9" s="5"/>
      <c r="Q9" s="5">
        <f t="shared" si="8"/>
        <v>0.27439832892272942</v>
      </c>
      <c r="R9" s="5">
        <f t="shared" si="3"/>
        <v>0.3207129140741759</v>
      </c>
      <c r="S9" s="10">
        <v>1</v>
      </c>
      <c r="T9" s="9">
        <f t="shared" si="4"/>
        <v>0</v>
      </c>
    </row>
    <row r="10" spans="1:24" ht="12.95" x14ac:dyDescent="0.3">
      <c r="A10" s="2">
        <f t="shared" ref="A10:A14" si="11">1+A9</f>
        <v>2011</v>
      </c>
      <c r="B10" s="1">
        <v>23783231805</v>
      </c>
      <c r="C10" s="1">
        <v>6641209693</v>
      </c>
      <c r="D10" s="1">
        <v>938077503</v>
      </c>
      <c r="E10" s="1">
        <f t="shared" si="10"/>
        <v>7579287196</v>
      </c>
      <c r="F10" s="1">
        <v>785030520</v>
      </c>
      <c r="G10" s="5">
        <f t="shared" si="6"/>
        <v>0.24623142981639876</v>
      </c>
      <c r="H10" s="5">
        <f t="shared" si="9"/>
        <v>3.9442810409087717E-2</v>
      </c>
      <c r="I10" s="5">
        <f t="shared" si="7"/>
        <v>3.3007731095441847E-2</v>
      </c>
      <c r="J10" s="5"/>
      <c r="K10" s="5"/>
      <c r="L10" s="5"/>
      <c r="M10" s="5">
        <f t="shared" si="1"/>
        <v>0.28567424022548649</v>
      </c>
      <c r="N10" s="5">
        <f t="shared" si="2"/>
        <v>3.3007731095441847E-2</v>
      </c>
      <c r="O10" s="5"/>
      <c r="P10" s="5"/>
      <c r="Q10" s="5">
        <f t="shared" si="8"/>
        <v>0.27923916091184059</v>
      </c>
      <c r="R10" s="5">
        <f t="shared" si="3"/>
        <v>0.31868197132092829</v>
      </c>
      <c r="S10" s="10">
        <v>1</v>
      </c>
      <c r="T10" s="9">
        <f t="shared" si="4"/>
        <v>0</v>
      </c>
    </row>
    <row r="11" spans="1:24" ht="12.95" x14ac:dyDescent="0.3">
      <c r="A11" s="2">
        <f t="shared" si="11"/>
        <v>2012</v>
      </c>
      <c r="B11" s="1">
        <v>26648356908</v>
      </c>
      <c r="C11" s="1">
        <v>7459456898</v>
      </c>
      <c r="D11" s="1">
        <v>855703932</v>
      </c>
      <c r="E11" s="1">
        <f t="shared" si="10"/>
        <v>8315160830</v>
      </c>
      <c r="F11" s="1">
        <v>942529533.48000002</v>
      </c>
      <c r="G11" s="5">
        <f t="shared" si="6"/>
        <v>0.24455268994703305</v>
      </c>
      <c r="H11" s="5">
        <f t="shared" si="9"/>
        <v>3.2110945337238128E-2</v>
      </c>
      <c r="I11" s="5">
        <f t="shared" si="7"/>
        <v>3.536914252289404E-2</v>
      </c>
      <c r="J11" s="5"/>
      <c r="K11" s="5"/>
      <c r="L11" s="5"/>
      <c r="M11" s="5">
        <f t="shared" si="1"/>
        <v>0.27666363528427118</v>
      </c>
      <c r="N11" s="5">
        <f t="shared" si="2"/>
        <v>3.536914252289404E-2</v>
      </c>
      <c r="O11" s="5"/>
      <c r="P11" s="5"/>
      <c r="Q11" s="5">
        <f t="shared" si="8"/>
        <v>0.27992183246992708</v>
      </c>
      <c r="R11" s="5">
        <f t="shared" si="3"/>
        <v>0.31203277780716521</v>
      </c>
      <c r="S11" s="10">
        <v>1</v>
      </c>
      <c r="T11" s="9">
        <f t="shared" si="4"/>
        <v>0</v>
      </c>
    </row>
    <row r="12" spans="1:24" ht="12.95" x14ac:dyDescent="0.3">
      <c r="A12" s="2">
        <f t="shared" si="11"/>
        <v>2013</v>
      </c>
      <c r="B12" s="1">
        <v>28463801898</v>
      </c>
      <c r="C12" s="1">
        <v>8064074408</v>
      </c>
      <c r="D12" s="1">
        <v>926063773</v>
      </c>
      <c r="E12" s="1">
        <f t="shared" si="10"/>
        <v>8990138181</v>
      </c>
      <c r="F12" s="1">
        <v>1330477160.0999999</v>
      </c>
      <c r="G12" s="5">
        <f>(C12-F12*S12)/B12</f>
        <v>0.23656703598591072</v>
      </c>
      <c r="H12" s="5">
        <f t="shared" si="9"/>
        <v>3.2534788441774168E-2</v>
      </c>
      <c r="I12" s="5">
        <f t="shared" si="7"/>
        <v>4.6742777541375645E-2</v>
      </c>
      <c r="J12" s="5"/>
      <c r="K12" s="5"/>
      <c r="L12" s="5"/>
      <c r="M12" s="5">
        <f t="shared" si="1"/>
        <v>0.26910182442768488</v>
      </c>
      <c r="N12" s="5">
        <f t="shared" si="2"/>
        <v>4.6742777541375645E-2</v>
      </c>
      <c r="O12" s="5"/>
      <c r="P12" s="5"/>
      <c r="Q12" s="5">
        <f t="shared" si="8"/>
        <v>0.2833098135272864</v>
      </c>
      <c r="R12" s="5">
        <f t="shared" si="3"/>
        <v>0.31584460196906056</v>
      </c>
      <c r="S12" s="10">
        <v>1</v>
      </c>
      <c r="T12" s="9">
        <f t="shared" si="4"/>
        <v>0</v>
      </c>
    </row>
    <row r="13" spans="1:24" ht="12.95" x14ac:dyDescent="0.3">
      <c r="A13" s="2">
        <f t="shared" si="11"/>
        <v>2014</v>
      </c>
      <c r="B13" s="1">
        <v>30608169934</v>
      </c>
      <c r="C13" s="1">
        <f>9045614569</f>
        <v>9045614569</v>
      </c>
      <c r="D13" s="1">
        <f>1299403669</f>
        <v>1299403669</v>
      </c>
      <c r="E13" s="1">
        <f t="shared" si="10"/>
        <v>10345018238</v>
      </c>
      <c r="F13" s="1">
        <v>1391749827.79</v>
      </c>
      <c r="G13" s="5">
        <f>(C13-F13*S13)/B13</f>
        <v>0.25915351110086399</v>
      </c>
      <c r="H13" s="5">
        <f>(D13-T13*F13)/B13</f>
        <v>3.3358861560285537E-2</v>
      </c>
      <c r="I13" s="5">
        <f t="shared" si="7"/>
        <v>4.5469880453193119E-2</v>
      </c>
      <c r="J13" s="5"/>
      <c r="K13" s="5"/>
      <c r="L13" s="5"/>
      <c r="M13" s="5">
        <f t="shared" si="1"/>
        <v>0.29251237266114949</v>
      </c>
      <c r="N13" s="5">
        <f t="shared" si="2"/>
        <v>4.5469880453193119E-2</v>
      </c>
      <c r="O13" s="5"/>
      <c r="P13" s="5"/>
      <c r="Q13" s="5">
        <f t="shared" si="8"/>
        <v>0.29552941546341849</v>
      </c>
      <c r="R13" s="5">
        <f>E13/B13</f>
        <v>0.33798225311434266</v>
      </c>
      <c r="S13" s="10">
        <v>0.8</v>
      </c>
      <c r="T13" s="9">
        <f t="shared" si="4"/>
        <v>0.19999999999999996</v>
      </c>
      <c r="U13" t="s">
        <v>8</v>
      </c>
    </row>
    <row r="14" spans="1:24" ht="12.95" x14ac:dyDescent="0.3">
      <c r="A14" s="2">
        <f t="shared" si="11"/>
        <v>2015</v>
      </c>
      <c r="B14" s="1">
        <v>33101361337</v>
      </c>
      <c r="C14" s="1">
        <f>(10948928662-1452388018)</f>
        <v>9496540644</v>
      </c>
      <c r="D14" s="1">
        <f>1977765909</f>
        <v>1977765909</v>
      </c>
      <c r="E14" s="1">
        <f t="shared" si="10"/>
        <v>11474306553</v>
      </c>
      <c r="F14" s="1">
        <v>1203335551.5699999</v>
      </c>
      <c r="G14" s="5">
        <f>(C14-F14*S14)/B14</f>
        <v>0.26508091989709215</v>
      </c>
      <c r="H14" s="5">
        <f t="shared" si="9"/>
        <v>4.5207557270441331E-2</v>
      </c>
      <c r="I14" s="5">
        <f t="shared" si="7"/>
        <v>3.6353053257206586E-2</v>
      </c>
      <c r="J14" s="5"/>
      <c r="K14" s="5"/>
      <c r="L14" s="5"/>
      <c r="M14" s="5">
        <f>(E14-F14)/B14</f>
        <v>0.31028847716753349</v>
      </c>
      <c r="N14" s="5">
        <f t="shared" si="2"/>
        <v>3.6353053257206586E-2</v>
      </c>
      <c r="O14" s="5"/>
      <c r="P14" s="5"/>
      <c r="Q14" s="5">
        <f t="shared" si="8"/>
        <v>0.28689275185141611</v>
      </c>
      <c r="R14" s="5">
        <f t="shared" si="3"/>
        <v>0.34664153042474005</v>
      </c>
      <c r="S14" s="10">
        <v>0.6</v>
      </c>
      <c r="T14" s="9">
        <f t="shared" si="4"/>
        <v>0.4</v>
      </c>
    </row>
    <row r="15" spans="1:24" ht="12.95" x14ac:dyDescent="0.3">
      <c r="A15" s="2">
        <v>2016</v>
      </c>
      <c r="B15" s="1">
        <f>'Educação - TCMSP'!B15</f>
        <v>33729045773</v>
      </c>
      <c r="C15" s="1">
        <f>'Educação - TCMSP'!C15</f>
        <v>9680109301</v>
      </c>
      <c r="D15" s="1">
        <f>'Educação - TCMSP'!D15</f>
        <v>2669078528.9499998</v>
      </c>
      <c r="E15" s="1">
        <f t="shared" si="10"/>
        <v>12349187829.950001</v>
      </c>
      <c r="F15" s="1">
        <f>'Educação - TCMSP'!F15</f>
        <v>2322588494.9499998</v>
      </c>
      <c r="G15" s="5">
        <f>(C15-F15*S15)/B15</f>
        <v>0.25945216363118129</v>
      </c>
      <c r="H15" s="5">
        <f>(D15-T15*F15)/B15</f>
        <v>3.7816825313245428E-2</v>
      </c>
      <c r="I15" s="5">
        <f t="shared" si="7"/>
        <v>6.8860189837010602E-2</v>
      </c>
      <c r="J15" s="5"/>
      <c r="K15" s="5"/>
      <c r="L15" s="5"/>
      <c r="M15" s="5">
        <f>(E15-F15)/B15</f>
        <v>0.29726898894442672</v>
      </c>
      <c r="N15" s="5">
        <f>F15/B15</f>
        <v>6.8860189837010602E-2</v>
      </c>
      <c r="O15" s="5"/>
      <c r="P15" s="5"/>
      <c r="Q15" s="5">
        <f t="shared" si="8"/>
        <v>0.28699623956598552</v>
      </c>
      <c r="R15" s="5">
        <f t="shared" si="3"/>
        <v>0.36612917878143736</v>
      </c>
      <c r="S15" s="10">
        <v>0.4</v>
      </c>
      <c r="T15" s="9">
        <f t="shared" si="4"/>
        <v>0.6</v>
      </c>
    </row>
    <row r="16" spans="1:24" ht="12.95" x14ac:dyDescent="0.3">
      <c r="A16" s="2" t="s">
        <v>24</v>
      </c>
      <c r="B16" s="1">
        <f>B65+B61-B60</f>
        <v>35064409890.980003</v>
      </c>
      <c r="C16" s="1">
        <f t="shared" ref="C16:E16" si="12">C65+C61-C60</f>
        <v>8414981803.9299994</v>
      </c>
      <c r="D16" s="1">
        <f t="shared" si="12"/>
        <v>3046829505.2799997</v>
      </c>
      <c r="E16" s="1">
        <f t="shared" si="12"/>
        <v>11461811309.209999</v>
      </c>
      <c r="F16" s="1"/>
      <c r="G16" s="1"/>
      <c r="H16" s="5"/>
      <c r="I16" s="12"/>
      <c r="J16" s="8">
        <f>E16/B16</f>
        <v>0.3268787738007376</v>
      </c>
      <c r="K16" s="12"/>
      <c r="L16" s="12"/>
      <c r="M16" s="1"/>
      <c r="N16" s="1"/>
      <c r="O16" s="5">
        <f>J16</f>
        <v>0.3268787738007376</v>
      </c>
      <c r="P16" s="1"/>
      <c r="Q16" s="5">
        <f t="shared" si="8"/>
        <v>0.23998640872877419</v>
      </c>
      <c r="R16" s="5">
        <f t="shared" si="3"/>
        <v>0.3268787738007376</v>
      </c>
      <c r="S16" s="10">
        <v>0.2</v>
      </c>
      <c r="T16" s="9">
        <f t="shared" si="4"/>
        <v>0.8</v>
      </c>
    </row>
    <row r="17" spans="1:20" ht="12.95" x14ac:dyDescent="0.3">
      <c r="A17" s="2">
        <v>2018</v>
      </c>
      <c r="B17" s="1"/>
      <c r="C17" s="1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0">
        <v>0</v>
      </c>
      <c r="T17" s="9">
        <f t="shared" si="4"/>
        <v>1</v>
      </c>
    </row>
    <row r="18" spans="1:20" ht="12.95" x14ac:dyDescent="0.3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0"/>
      <c r="T18" s="9"/>
    </row>
    <row r="19" spans="1:20" ht="12.95" x14ac:dyDescent="0.3">
      <c r="A19" s="3"/>
      <c r="B19" s="13"/>
      <c r="C19" s="13"/>
      <c r="D19" s="13"/>
      <c r="E19" s="1"/>
      <c r="J19" s="5"/>
    </row>
    <row r="56" spans="1:14" x14ac:dyDescent="0.2">
      <c r="B56" s="3" t="s">
        <v>0</v>
      </c>
      <c r="C56" s="3" t="s">
        <v>5</v>
      </c>
      <c r="D56" s="4" t="s">
        <v>6</v>
      </c>
      <c r="E56" s="4" t="s">
        <v>10</v>
      </c>
      <c r="F56" s="4" t="s">
        <v>7</v>
      </c>
      <c r="G56" s="4" t="s">
        <v>25</v>
      </c>
    </row>
    <row r="57" spans="1:14" x14ac:dyDescent="0.2">
      <c r="A57" s="15">
        <v>42401</v>
      </c>
      <c r="B57" s="18">
        <v>7376366046.3000002</v>
      </c>
      <c r="C57" s="18">
        <v>4107644756.0500002</v>
      </c>
      <c r="D57" s="18">
        <v>871866609.87</v>
      </c>
      <c r="E57" s="1">
        <f t="shared" ref="E57:E58" si="13">D57+C57</f>
        <v>4979511365.9200001</v>
      </c>
      <c r="F57" s="4"/>
      <c r="G57" s="4"/>
      <c r="I57" s="5">
        <f t="shared" ref="I57:I64" si="14">C57/B57</f>
        <v>0.55686563414384826</v>
      </c>
      <c r="J57" s="5">
        <f t="shared" ref="J57:J64" si="15">E57/B57</f>
        <v>0.67506294219465057</v>
      </c>
      <c r="K57" s="5">
        <f t="shared" ref="K57:K64" si="16">(E57+G57)/B57</f>
        <v>0.67506294219465057</v>
      </c>
    </row>
    <row r="58" spans="1:14" x14ac:dyDescent="0.2">
      <c r="A58" s="15">
        <v>42461</v>
      </c>
      <c r="B58" s="18">
        <v>12940319012.09</v>
      </c>
      <c r="C58" s="18">
        <v>5094554480.7399998</v>
      </c>
      <c r="D58" s="18">
        <v>961143702.30999994</v>
      </c>
      <c r="E58" s="1">
        <f t="shared" si="13"/>
        <v>6055698183.0499992</v>
      </c>
      <c r="F58" s="4"/>
      <c r="G58" s="4"/>
      <c r="I58" s="5">
        <f t="shared" si="14"/>
        <v>0.3936962045510789</v>
      </c>
      <c r="J58" s="5">
        <f t="shared" si="15"/>
        <v>0.46797132106188616</v>
      </c>
      <c r="K58" s="5">
        <f t="shared" si="16"/>
        <v>0.46797132106188616</v>
      </c>
    </row>
    <row r="59" spans="1:14" x14ac:dyDescent="0.2">
      <c r="A59" s="15">
        <v>42522</v>
      </c>
      <c r="B59" s="1">
        <v>18202316341.32</v>
      </c>
      <c r="C59" s="1">
        <v>6210481679.9799995</v>
      </c>
      <c r="D59" s="1">
        <v>1194425042.0699999</v>
      </c>
      <c r="E59" s="1">
        <f>D59+C59</f>
        <v>7404906722.0499992</v>
      </c>
      <c r="F59" s="1"/>
      <c r="G59" s="1"/>
      <c r="I59" s="5">
        <f t="shared" si="14"/>
        <v>0.34119183314499119</v>
      </c>
      <c r="J59" s="5">
        <f t="shared" si="15"/>
        <v>0.40681123122998136</v>
      </c>
      <c r="K59" s="5">
        <f t="shared" si="16"/>
        <v>0.40681123122998136</v>
      </c>
      <c r="L59" s="16"/>
      <c r="M59" s="8"/>
      <c r="N59" s="14"/>
    </row>
    <row r="60" spans="1:14" x14ac:dyDescent="0.2">
      <c r="A60" s="15">
        <v>42583</v>
      </c>
      <c r="B60" s="1">
        <v>23461959096.349998</v>
      </c>
      <c r="C60" s="1">
        <v>7139521612.3800001</v>
      </c>
      <c r="D60" s="1">
        <v>1383341412.3</v>
      </c>
      <c r="E60" s="1">
        <f t="shared" ref="E60:E65" si="17">D60+C60</f>
        <v>8522863024.6800003</v>
      </c>
      <c r="F60" s="1"/>
      <c r="G60" s="1"/>
      <c r="I60" s="5">
        <f t="shared" si="14"/>
        <v>0.3043020228217303</v>
      </c>
      <c r="J60" s="5">
        <f t="shared" si="15"/>
        <v>0.36326305871046849</v>
      </c>
      <c r="K60" s="5">
        <f t="shared" si="16"/>
        <v>0.36326305871046849</v>
      </c>
      <c r="L60" s="16"/>
      <c r="M60" s="8"/>
      <c r="N60" s="14"/>
    </row>
    <row r="61" spans="1:14" x14ac:dyDescent="0.2">
      <c r="A61" s="2">
        <v>2016</v>
      </c>
      <c r="B61" s="1">
        <v>33729013538.330002</v>
      </c>
      <c r="C61" s="1">
        <v>9635769469.3099995</v>
      </c>
      <c r="D61" s="1">
        <f>1782633777.63+'Educação - TCMSP'!C64</f>
        <v>2734895060.5799999</v>
      </c>
      <c r="E61" s="1">
        <f t="shared" si="17"/>
        <v>12370664529.889999</v>
      </c>
      <c r="F61" s="1">
        <f>F15</f>
        <v>2322588494.9499998</v>
      </c>
      <c r="G61" s="1"/>
      <c r="H61" s="8"/>
      <c r="I61" s="5">
        <f t="shared" si="14"/>
        <v>0.28568192361628991</v>
      </c>
      <c r="J61" s="5">
        <f t="shared" si="15"/>
        <v>0.36676627129435158</v>
      </c>
      <c r="K61" s="5">
        <f t="shared" si="16"/>
        <v>0.36676627129435158</v>
      </c>
      <c r="L61" s="16"/>
      <c r="M61" s="8"/>
      <c r="N61" s="14"/>
    </row>
    <row r="62" spans="1:14" x14ac:dyDescent="0.2">
      <c r="A62" s="15">
        <v>42767</v>
      </c>
      <c r="B62" s="11">
        <v>7660872045.2600002</v>
      </c>
      <c r="C62" s="18">
        <v>2885571277.2399998</v>
      </c>
      <c r="D62" s="1">
        <v>622339619.85000002</v>
      </c>
      <c r="E62" s="1">
        <f t="shared" si="17"/>
        <v>3507910897.0899997</v>
      </c>
      <c r="F62" s="1"/>
      <c r="G62" s="1"/>
      <c r="H62" s="8"/>
      <c r="I62" s="5">
        <f t="shared" si="14"/>
        <v>0.37666355216380165</v>
      </c>
      <c r="J62" s="5">
        <f t="shared" si="15"/>
        <v>0.457899685096613</v>
      </c>
      <c r="K62" s="5">
        <f t="shared" si="16"/>
        <v>0.457899685096613</v>
      </c>
      <c r="L62" s="16"/>
      <c r="M62" s="8"/>
      <c r="N62" s="14"/>
    </row>
    <row r="63" spans="1:14" x14ac:dyDescent="0.2">
      <c r="A63" s="15">
        <v>42826</v>
      </c>
      <c r="B63" s="1">
        <v>13418464230</v>
      </c>
      <c r="C63" s="1">
        <v>3944115943</v>
      </c>
      <c r="D63" s="1">
        <v>1037534299</v>
      </c>
      <c r="E63" s="1">
        <f t="shared" si="17"/>
        <v>4981650242</v>
      </c>
      <c r="F63" s="1">
        <f>536432407/0.8</f>
        <v>670540508.75</v>
      </c>
      <c r="G63" s="1">
        <v>2482176042</v>
      </c>
      <c r="H63" s="8"/>
      <c r="I63" s="5">
        <f t="shared" si="14"/>
        <v>0.29393199366154288</v>
      </c>
      <c r="J63" s="5">
        <f t="shared" si="15"/>
        <v>0.37125338314517381</v>
      </c>
      <c r="K63" s="5">
        <f t="shared" si="16"/>
        <v>0.5562355092256337</v>
      </c>
      <c r="L63" s="16"/>
      <c r="M63" s="8"/>
      <c r="N63" s="14"/>
    </row>
    <row r="64" spans="1:14" x14ac:dyDescent="0.2">
      <c r="A64" s="15">
        <v>42887</v>
      </c>
      <c r="B64" s="1">
        <v>19082789807</v>
      </c>
      <c r="C64" s="1">
        <v>5974218698</v>
      </c>
      <c r="D64" s="1">
        <v>1359030116</v>
      </c>
      <c r="E64" s="1">
        <f t="shared" si="17"/>
        <v>7333248814</v>
      </c>
      <c r="F64" s="1">
        <f>832032299/0.8</f>
        <v>1040040373.75</v>
      </c>
      <c r="G64" s="1">
        <v>2975063125</v>
      </c>
      <c r="H64" s="8"/>
      <c r="I64" s="5">
        <f t="shared" si="14"/>
        <v>0.31306841182144768</v>
      </c>
      <c r="J64" s="5">
        <f t="shared" si="15"/>
        <v>0.38428599215142001</v>
      </c>
      <c r="K64" s="5">
        <f t="shared" si="16"/>
        <v>0.54018893690369518</v>
      </c>
      <c r="L64" s="16"/>
      <c r="M64" s="8"/>
      <c r="N64" s="14"/>
    </row>
    <row r="65" spans="1:11" x14ac:dyDescent="0.2">
      <c r="A65" s="15">
        <v>42948</v>
      </c>
      <c r="B65" s="1">
        <v>24797355449</v>
      </c>
      <c r="C65" s="1">
        <v>5918733947</v>
      </c>
      <c r="D65" s="1">
        <v>1695275857</v>
      </c>
      <c r="E65" s="1">
        <f t="shared" si="17"/>
        <v>7614009804</v>
      </c>
      <c r="F65" s="1">
        <f>1131547715/0.8</f>
        <v>1414434643.75</v>
      </c>
      <c r="G65" s="1">
        <v>1923525565</v>
      </c>
      <c r="I65" s="5">
        <f>C65/B65</f>
        <v>0.2386840790007986</v>
      </c>
      <c r="J65" s="5">
        <f>E65/B65</f>
        <v>0.30704926659052467</v>
      </c>
      <c r="K65" s="5">
        <f>(E65+G65)/B65</f>
        <v>0.38461905297182081</v>
      </c>
    </row>
    <row r="66" spans="1:11" x14ac:dyDescent="0.2">
      <c r="C66" s="1"/>
      <c r="D66" s="11"/>
    </row>
    <row r="67" spans="1:11" x14ac:dyDescent="0.2">
      <c r="A67" s="15"/>
      <c r="B67" s="11"/>
      <c r="C67" s="11"/>
      <c r="D67" s="11"/>
      <c r="E67" s="11"/>
    </row>
    <row r="68" spans="1:11" x14ac:dyDescent="0.2">
      <c r="A68" s="2">
        <v>2016</v>
      </c>
      <c r="B68" s="1">
        <f>B61</f>
        <v>33729013538.330002</v>
      </c>
      <c r="C68" s="1">
        <f>C61</f>
        <v>9635769469.3099995</v>
      </c>
      <c r="D68" s="1">
        <f>D61</f>
        <v>2734895060.5799999</v>
      </c>
      <c r="E68" s="1">
        <f>C68+D68</f>
        <v>12370664529.889999</v>
      </c>
      <c r="I68" s="8">
        <f>C68/B68</f>
        <v>0.28568192361628991</v>
      </c>
      <c r="J68" s="8">
        <f>D68/B68</f>
        <v>8.1084347678061705E-2</v>
      </c>
      <c r="K68" s="14">
        <f>J68+I68</f>
        <v>0.36676627129435163</v>
      </c>
    </row>
    <row r="69" spans="1:11" x14ac:dyDescent="0.2">
      <c r="A69" s="15">
        <v>42767</v>
      </c>
      <c r="B69" s="1">
        <f>B62+$B$61-B57</f>
        <v>34013519537.290005</v>
      </c>
      <c r="C69" s="1">
        <f>C62+$C$61-C57</f>
        <v>8413695990.499999</v>
      </c>
      <c r="D69" s="1">
        <f>D62+$D$61-D57</f>
        <v>2485368070.5599999</v>
      </c>
      <c r="E69" s="1">
        <f t="shared" ref="E69:E72" si="18">C69+D69</f>
        <v>10899064061.059999</v>
      </c>
      <c r="I69" s="8">
        <f t="shared" ref="I69:I72" si="19">C69/B69</f>
        <v>0.24736328686232606</v>
      </c>
      <c r="J69" s="8">
        <f t="shared" ref="J69:J72" si="20">D69/B69</f>
        <v>7.3070005820339151E-2</v>
      </c>
      <c r="K69" s="14">
        <f t="shared" ref="K69:K72" si="21">J69+I69</f>
        <v>0.32043329268266518</v>
      </c>
    </row>
    <row r="70" spans="1:11" x14ac:dyDescent="0.2">
      <c r="A70" s="15">
        <v>42826</v>
      </c>
      <c r="B70" s="1">
        <f t="shared" ref="B70:B72" si="22">B63+$B$61-B58</f>
        <v>34207158756.240002</v>
      </c>
      <c r="C70" s="1">
        <f t="shared" ref="C70:C72" si="23">C63+$C$61-C58</f>
        <v>8485330931.5699997</v>
      </c>
      <c r="D70" s="1">
        <f t="shared" ref="D70:D72" si="24">D63+$D$61-D58</f>
        <v>2811285657.27</v>
      </c>
      <c r="E70" s="1">
        <f t="shared" si="18"/>
        <v>11296616588.84</v>
      </c>
      <c r="I70" s="8">
        <f t="shared" si="19"/>
        <v>0.2480571681511585</v>
      </c>
      <c r="J70" s="8">
        <f t="shared" si="20"/>
        <v>8.218413219593021E-2</v>
      </c>
      <c r="K70" s="14">
        <f t="shared" si="21"/>
        <v>0.33024130034708871</v>
      </c>
    </row>
    <row r="71" spans="1:11" x14ac:dyDescent="0.2">
      <c r="A71" s="15">
        <v>42887</v>
      </c>
      <c r="B71" s="1">
        <f t="shared" si="22"/>
        <v>34609487004.010002</v>
      </c>
      <c r="C71" s="1">
        <f t="shared" si="23"/>
        <v>9399506487.3299999</v>
      </c>
      <c r="D71" s="1">
        <f t="shared" si="24"/>
        <v>2899500134.5100002</v>
      </c>
      <c r="E71" s="1">
        <f t="shared" si="18"/>
        <v>12299006621.84</v>
      </c>
      <c r="I71" s="8">
        <f t="shared" si="19"/>
        <v>0.2715875703745893</v>
      </c>
      <c r="J71" s="8">
        <f t="shared" si="20"/>
        <v>8.3777610866467095E-2</v>
      </c>
      <c r="K71" s="14">
        <f t="shared" si="21"/>
        <v>0.35536518124105643</v>
      </c>
    </row>
    <row r="72" spans="1:11" x14ac:dyDescent="0.2">
      <c r="A72" s="15">
        <v>42948</v>
      </c>
      <c r="B72" s="1">
        <f t="shared" si="22"/>
        <v>35064409890.980003</v>
      </c>
      <c r="C72" s="1">
        <f t="shared" si="23"/>
        <v>8414981803.9299994</v>
      </c>
      <c r="D72" s="1">
        <f t="shared" si="24"/>
        <v>3046829505.2799997</v>
      </c>
      <c r="E72" s="1">
        <f t="shared" si="18"/>
        <v>11461811309.209999</v>
      </c>
      <c r="I72" s="8">
        <f t="shared" si="19"/>
        <v>0.23998640872877419</v>
      </c>
      <c r="J72" s="8">
        <f t="shared" si="20"/>
        <v>8.6892365071963421E-2</v>
      </c>
      <c r="K72" s="14">
        <f t="shared" si="21"/>
        <v>0.3268787738007376</v>
      </c>
    </row>
    <row r="73" spans="1:11" x14ac:dyDescent="0.2">
      <c r="B73" s="1"/>
    </row>
    <row r="76" spans="1:11" x14ac:dyDescent="0.2">
      <c r="B76" t="s">
        <v>5</v>
      </c>
      <c r="C76" t="s">
        <v>39</v>
      </c>
    </row>
    <row r="77" spans="1:11" x14ac:dyDescent="0.2">
      <c r="A77">
        <v>2007</v>
      </c>
      <c r="B77" s="6">
        <f>G6</f>
        <v>0.23552491160558314</v>
      </c>
      <c r="C77" s="6">
        <f>H6</f>
        <v>5.6879192678852747E-2</v>
      </c>
    </row>
    <row r="78" spans="1:11" x14ac:dyDescent="0.2">
      <c r="A78">
        <f>A77+1</f>
        <v>2008</v>
      </c>
      <c r="B78" s="6">
        <f t="shared" ref="B78:B86" si="25">G7</f>
        <v>0.24111748092531834</v>
      </c>
      <c r="C78" s="6">
        <f t="shared" ref="C78:C86" si="26">H7</f>
        <v>4.8476103925005995E-2</v>
      </c>
    </row>
    <row r="79" spans="1:11" x14ac:dyDescent="0.2">
      <c r="A79">
        <f t="shared" ref="A79:A86" si="27">A78+1</f>
        <v>2009</v>
      </c>
      <c r="B79" s="6">
        <f t="shared" si="25"/>
        <v>0.24485946200627628</v>
      </c>
      <c r="C79" s="6">
        <f t="shared" si="26"/>
        <v>4.3128714519073824E-2</v>
      </c>
    </row>
    <row r="80" spans="1:11" x14ac:dyDescent="0.2">
      <c r="A80">
        <f t="shared" si="27"/>
        <v>2010</v>
      </c>
      <c r="B80" s="6">
        <f t="shared" si="25"/>
        <v>0.24119007978166171</v>
      </c>
      <c r="C80" s="6">
        <f t="shared" si="26"/>
        <v>4.631458515144652E-2</v>
      </c>
    </row>
    <row r="81" spans="1:3" x14ac:dyDescent="0.2">
      <c r="A81">
        <f t="shared" si="27"/>
        <v>2011</v>
      </c>
      <c r="B81" s="6">
        <f t="shared" si="25"/>
        <v>0.24623142981639876</v>
      </c>
      <c r="C81" s="6">
        <f t="shared" si="26"/>
        <v>3.9442810409087717E-2</v>
      </c>
    </row>
    <row r="82" spans="1:3" x14ac:dyDescent="0.2">
      <c r="A82">
        <f t="shared" si="27"/>
        <v>2012</v>
      </c>
      <c r="B82" s="6">
        <f t="shared" si="25"/>
        <v>0.24455268994703305</v>
      </c>
      <c r="C82" s="6">
        <f t="shared" si="26"/>
        <v>3.2110945337238128E-2</v>
      </c>
    </row>
    <row r="83" spans="1:3" x14ac:dyDescent="0.2">
      <c r="A83">
        <f t="shared" si="27"/>
        <v>2013</v>
      </c>
      <c r="B83" s="6">
        <f t="shared" si="25"/>
        <v>0.23656703598591072</v>
      </c>
      <c r="C83" s="6">
        <f t="shared" si="26"/>
        <v>3.2534788441774168E-2</v>
      </c>
    </row>
    <row r="84" spans="1:3" x14ac:dyDescent="0.2">
      <c r="A84">
        <f t="shared" si="27"/>
        <v>2014</v>
      </c>
      <c r="B84" s="6">
        <f t="shared" si="25"/>
        <v>0.25915351110086399</v>
      </c>
      <c r="C84" s="6">
        <f t="shared" si="26"/>
        <v>3.3358861560285537E-2</v>
      </c>
    </row>
    <row r="85" spans="1:3" x14ac:dyDescent="0.2">
      <c r="A85">
        <f t="shared" si="27"/>
        <v>2015</v>
      </c>
      <c r="B85" s="6">
        <f t="shared" si="25"/>
        <v>0.26508091989709215</v>
      </c>
      <c r="C85" s="6">
        <f t="shared" si="26"/>
        <v>4.5207557270441331E-2</v>
      </c>
    </row>
    <row r="86" spans="1:3" x14ac:dyDescent="0.2">
      <c r="A86">
        <f t="shared" si="27"/>
        <v>2016</v>
      </c>
      <c r="B86" s="6">
        <f t="shared" si="25"/>
        <v>0.25945216363118129</v>
      </c>
      <c r="C86" s="6">
        <f t="shared" si="26"/>
        <v>3.7816825313245428E-2</v>
      </c>
    </row>
    <row r="87" spans="1:3" x14ac:dyDescent="0.2">
      <c r="A87" t="s">
        <v>40</v>
      </c>
      <c r="B87" s="6">
        <f>I65</f>
        <v>0.2386840790007986</v>
      </c>
    </row>
  </sheetData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6"/>
  <sheetViews>
    <sheetView zoomScale="111" workbookViewId="0"/>
  </sheetViews>
  <sheetFormatPr defaultRowHeight="12.75" x14ac:dyDescent="0.2"/>
  <cols>
    <col min="1" max="1" width="9.5703125" bestFit="1" customWidth="1"/>
    <col min="2" max="3" width="17.7109375" bestFit="1" customWidth="1"/>
    <col min="4" max="4" width="19.85546875" bestFit="1" customWidth="1"/>
    <col min="5" max="5" width="17.7109375" bestFit="1" customWidth="1"/>
    <col min="6" max="6" width="17.42578125" bestFit="1" customWidth="1"/>
    <col min="7" max="7" width="15.85546875" bestFit="1" customWidth="1"/>
    <col min="8" max="8" width="6.28515625" bestFit="1" customWidth="1"/>
    <col min="9" max="9" width="9.140625" bestFit="1" customWidth="1"/>
    <col min="10" max="10" width="7.28515625" bestFit="1" customWidth="1"/>
    <col min="11" max="12" width="9.140625" customWidth="1"/>
    <col min="13" max="13" width="20" bestFit="1" customWidth="1"/>
    <col min="14" max="14" width="9.140625" bestFit="1" customWidth="1"/>
    <col min="15" max="16" width="9.140625" customWidth="1"/>
    <col min="17" max="17" width="23" customWidth="1"/>
    <col min="18" max="18" width="10.140625" customWidth="1"/>
  </cols>
  <sheetData>
    <row r="1" spans="1:24" x14ac:dyDescent="0.2">
      <c r="B1" s="3" t="s">
        <v>0</v>
      </c>
      <c r="C1" s="3" t="s">
        <v>5</v>
      </c>
      <c r="D1" s="4" t="s">
        <v>6</v>
      </c>
      <c r="E1" s="4" t="s">
        <v>10</v>
      </c>
      <c r="F1" s="4" t="s">
        <v>7</v>
      </c>
      <c r="G1" s="4" t="s">
        <v>11</v>
      </c>
      <c r="H1" s="4" t="s">
        <v>13</v>
      </c>
      <c r="I1" s="4" t="s">
        <v>16</v>
      </c>
      <c r="J1" s="4" t="s">
        <v>17</v>
      </c>
      <c r="K1" s="4"/>
      <c r="L1" s="4"/>
      <c r="M1" s="4" t="s">
        <v>15</v>
      </c>
      <c r="N1" s="4" t="s">
        <v>16</v>
      </c>
      <c r="O1" s="4" t="s">
        <v>17</v>
      </c>
      <c r="P1" s="4"/>
      <c r="Q1" s="4" t="s">
        <v>12</v>
      </c>
      <c r="R1" s="4" t="s">
        <v>10</v>
      </c>
      <c r="S1" s="3" t="s">
        <v>14</v>
      </c>
      <c r="T1" t="s">
        <v>13</v>
      </c>
      <c r="W1" t="s">
        <v>2</v>
      </c>
      <c r="X1" t="s">
        <v>1</v>
      </c>
    </row>
    <row r="2" spans="1:24" ht="12.95" x14ac:dyDescent="0.3">
      <c r="A2" s="2">
        <v>2003</v>
      </c>
      <c r="B2" s="1">
        <v>8490818423</v>
      </c>
      <c r="C2" s="1"/>
      <c r="D2" s="1"/>
      <c r="E2" s="1">
        <v>2781571754</v>
      </c>
      <c r="F2" s="1">
        <v>556456356</v>
      </c>
      <c r="G2" s="5"/>
      <c r="H2" s="5"/>
      <c r="I2" s="5"/>
      <c r="J2" s="5">
        <f>E2/B2</f>
        <v>0.32759760195380638</v>
      </c>
      <c r="K2" s="5"/>
      <c r="L2" s="5"/>
      <c r="M2" s="5">
        <f>(E2-F2)/B2</f>
        <v>0.26206135700330002</v>
      </c>
      <c r="N2" s="5">
        <f>F2/B2</f>
        <v>6.5536244950506348E-2</v>
      </c>
      <c r="O2" s="5"/>
      <c r="P2" s="5"/>
      <c r="Q2" s="8"/>
      <c r="R2" s="5">
        <f>E2/B2</f>
        <v>0.32759760195380638</v>
      </c>
      <c r="S2" s="9">
        <v>1</v>
      </c>
      <c r="T2" s="9">
        <f>100%-S2</f>
        <v>0</v>
      </c>
      <c r="W2" t="s">
        <v>3</v>
      </c>
      <c r="X2" t="s">
        <v>4</v>
      </c>
    </row>
    <row r="3" spans="1:24" ht="12.95" x14ac:dyDescent="0.3">
      <c r="A3" s="2">
        <v>2004</v>
      </c>
      <c r="B3" s="1">
        <v>9647894056</v>
      </c>
      <c r="C3" s="1"/>
      <c r="D3" s="1"/>
      <c r="E3" s="1">
        <v>3011647454</v>
      </c>
      <c r="F3" s="1">
        <v>651409136</v>
      </c>
      <c r="G3" s="5"/>
      <c r="H3" s="5"/>
      <c r="I3" s="5"/>
      <c r="J3" s="5">
        <f t="shared" ref="J3:J4" si="0">E3/B3</f>
        <v>0.31215594165102428</v>
      </c>
      <c r="K3" s="5"/>
      <c r="L3" s="5"/>
      <c r="M3" s="5">
        <f t="shared" ref="M3:M13" si="1">(E3-F3)/B3</f>
        <v>0.24463766955775951</v>
      </c>
      <c r="N3" s="5">
        <f t="shared" ref="N3:N14" si="2">F3/B3</f>
        <v>6.7518272093264789E-2</v>
      </c>
      <c r="O3" s="5"/>
      <c r="P3" s="5"/>
      <c r="Q3" s="8"/>
      <c r="R3" s="5">
        <f t="shared" ref="R3:R15" si="3">E3/B3</f>
        <v>0.31215594165102428</v>
      </c>
      <c r="S3" s="9">
        <v>1</v>
      </c>
      <c r="T3" s="9">
        <f t="shared" ref="T3:T17" si="4">100%-S3</f>
        <v>0</v>
      </c>
      <c r="W3" t="s">
        <v>18</v>
      </c>
    </row>
    <row r="4" spans="1:24" ht="12.95" x14ac:dyDescent="0.3">
      <c r="A4" s="2">
        <v>2005</v>
      </c>
      <c r="B4" s="1">
        <v>10967300316</v>
      </c>
      <c r="C4" s="1"/>
      <c r="D4" s="1"/>
      <c r="E4" s="1">
        <v>3627475354</v>
      </c>
      <c r="F4" s="1">
        <v>565616292</v>
      </c>
      <c r="G4" s="5"/>
      <c r="H4" s="5"/>
      <c r="I4" s="5"/>
      <c r="J4" s="5">
        <f t="shared" si="0"/>
        <v>0.33075371782314927</v>
      </c>
      <c r="K4" s="5"/>
      <c r="L4" s="5"/>
      <c r="M4" s="5">
        <f t="shared" si="1"/>
        <v>0.27918074400981874</v>
      </c>
      <c r="N4" s="5">
        <f t="shared" si="2"/>
        <v>5.1572973813330564E-2</v>
      </c>
      <c r="O4" s="5"/>
      <c r="P4" s="5"/>
      <c r="Q4" s="8"/>
      <c r="R4" s="5">
        <f t="shared" si="3"/>
        <v>0.33075371782314927</v>
      </c>
      <c r="S4" s="9">
        <v>1</v>
      </c>
      <c r="T4" s="9">
        <f t="shared" si="4"/>
        <v>0</v>
      </c>
    </row>
    <row r="5" spans="1:24" ht="12.95" x14ac:dyDescent="0.3">
      <c r="A5" s="2">
        <v>2006</v>
      </c>
      <c r="B5" s="1">
        <v>13105997360</v>
      </c>
      <c r="C5" s="11"/>
      <c r="D5" s="1"/>
      <c r="E5" s="1">
        <v>4171430422</v>
      </c>
      <c r="F5" s="1">
        <v>353064121</v>
      </c>
      <c r="G5" s="5"/>
      <c r="H5" s="5"/>
      <c r="I5" s="5"/>
      <c r="J5" s="5">
        <f>E5/B5</f>
        <v>0.31828408837707867</v>
      </c>
      <c r="K5" s="5"/>
      <c r="L5" s="5"/>
      <c r="M5" s="5">
        <f t="shared" si="1"/>
        <v>0.29134496186103304</v>
      </c>
      <c r="N5" s="5">
        <f t="shared" si="2"/>
        <v>2.6939126516045627E-2</v>
      </c>
      <c r="O5" s="5"/>
      <c r="P5" s="5"/>
      <c r="Q5" s="8"/>
      <c r="R5" s="5">
        <f t="shared" si="3"/>
        <v>0.31828408837707867</v>
      </c>
      <c r="S5" s="9">
        <v>1</v>
      </c>
      <c r="T5" s="9">
        <f t="shared" si="4"/>
        <v>0</v>
      </c>
    </row>
    <row r="6" spans="1:24" ht="12.95" x14ac:dyDescent="0.3">
      <c r="A6" s="2">
        <v>2007</v>
      </c>
      <c r="B6" s="1">
        <v>14869730145</v>
      </c>
      <c r="C6" s="1">
        <v>3945634536</v>
      </c>
      <c r="D6" s="1">
        <v>845778246</v>
      </c>
      <c r="E6" s="1">
        <f t="shared" ref="E6:E7" si="5">D6+C6</f>
        <v>4791412782</v>
      </c>
      <c r="F6" s="1">
        <v>443442658</v>
      </c>
      <c r="G6" s="5">
        <f t="shared" ref="G6:G12" si="6">(C6-F6*S6)/B6</f>
        <v>0.23552491160558314</v>
      </c>
      <c r="H6" s="5">
        <f>(D6-T6*F6)/B6</f>
        <v>5.6879192678852747E-2</v>
      </c>
      <c r="I6" s="5">
        <f t="shared" ref="I6:I15" si="7">F6/B6</f>
        <v>2.9821836285920035E-2</v>
      </c>
      <c r="J6" s="5"/>
      <c r="K6" s="5"/>
      <c r="L6" s="5"/>
      <c r="M6" s="5">
        <f t="shared" si="1"/>
        <v>0.29240410428443586</v>
      </c>
      <c r="N6" s="5">
        <f t="shared" si="2"/>
        <v>2.9821836285920035E-2</v>
      </c>
      <c r="O6" s="5"/>
      <c r="P6" s="5"/>
      <c r="Q6" s="5">
        <f t="shared" ref="Q6:Q13" si="8">C6/B6</f>
        <v>0.2653467478915032</v>
      </c>
      <c r="R6" s="5">
        <f t="shared" si="3"/>
        <v>0.32222594057035592</v>
      </c>
      <c r="S6" s="9">
        <v>1</v>
      </c>
      <c r="T6" s="9">
        <f t="shared" si="4"/>
        <v>0</v>
      </c>
    </row>
    <row r="7" spans="1:24" ht="12.95" x14ac:dyDescent="0.3">
      <c r="A7" s="2">
        <v>2008</v>
      </c>
      <c r="B7" s="1">
        <v>16831762166</v>
      </c>
      <c r="C7" s="1">
        <v>4531811568</v>
      </c>
      <c r="D7" s="1">
        <v>815938252</v>
      </c>
      <c r="E7" s="1">
        <f t="shared" si="5"/>
        <v>5347749820</v>
      </c>
      <c r="F7" s="1">
        <v>473379475</v>
      </c>
      <c r="G7" s="5">
        <f t="shared" si="6"/>
        <v>0.24111748092531834</v>
      </c>
      <c r="H7" s="5">
        <f t="shared" ref="H7:H14" si="9">(D7-T7*F7)/B7</f>
        <v>4.8476103925005995E-2</v>
      </c>
      <c r="I7" s="5">
        <f t="shared" si="7"/>
        <v>2.8124177987508762E-2</v>
      </c>
      <c r="J7" s="5"/>
      <c r="K7" s="5"/>
      <c r="L7" s="5"/>
      <c r="M7" s="5">
        <f t="shared" si="1"/>
        <v>0.28959358485032433</v>
      </c>
      <c r="N7" s="5">
        <f t="shared" si="2"/>
        <v>2.8124177987508762E-2</v>
      </c>
      <c r="O7" s="5"/>
      <c r="P7" s="5"/>
      <c r="Q7" s="5">
        <f t="shared" si="8"/>
        <v>0.26924165891282709</v>
      </c>
      <c r="R7" s="5">
        <f t="shared" si="3"/>
        <v>0.3177177628378331</v>
      </c>
      <c r="S7" s="9">
        <v>1</v>
      </c>
      <c r="T7" s="9">
        <f t="shared" si="4"/>
        <v>0</v>
      </c>
    </row>
    <row r="8" spans="1:24" ht="12.95" x14ac:dyDescent="0.3">
      <c r="A8" s="2">
        <v>2009</v>
      </c>
      <c r="B8" s="1">
        <v>17733070033</v>
      </c>
      <c r="C8" s="1">
        <v>4931904338</v>
      </c>
      <c r="D8" s="1">
        <v>764804515</v>
      </c>
      <c r="E8" s="1">
        <f>D8+C8</f>
        <v>5696708853</v>
      </c>
      <c r="F8" s="1">
        <v>589794350</v>
      </c>
      <c r="G8" s="5">
        <f t="shared" si="6"/>
        <v>0.24485946200627628</v>
      </c>
      <c r="H8" s="5">
        <f t="shared" si="9"/>
        <v>4.3128714519073824E-2</v>
      </c>
      <c r="I8" s="5">
        <f t="shared" si="7"/>
        <v>3.3259573717491338E-2</v>
      </c>
      <c r="J8" s="5"/>
      <c r="K8" s="5"/>
      <c r="L8" s="5"/>
      <c r="M8" s="5">
        <f t="shared" si="1"/>
        <v>0.28798817652535008</v>
      </c>
      <c r="N8" s="5">
        <f t="shared" si="2"/>
        <v>3.3259573717491338E-2</v>
      </c>
      <c r="O8" s="5"/>
      <c r="P8" s="5"/>
      <c r="Q8" s="5">
        <f t="shared" si="8"/>
        <v>0.27811903572376762</v>
      </c>
      <c r="R8" s="5">
        <f t="shared" si="3"/>
        <v>0.32124775024284141</v>
      </c>
      <c r="S8" s="10">
        <v>1</v>
      </c>
      <c r="T8" s="9">
        <f t="shared" si="4"/>
        <v>0</v>
      </c>
    </row>
    <row r="9" spans="1:24" ht="12.95" x14ac:dyDescent="0.3">
      <c r="A9" s="2">
        <f>1+A8</f>
        <v>2010</v>
      </c>
      <c r="B9" s="1">
        <v>20887172493</v>
      </c>
      <c r="C9" s="1">
        <v>5731405228</v>
      </c>
      <c r="D9" s="1">
        <v>967380729</v>
      </c>
      <c r="E9" s="1">
        <f t="shared" ref="E9:E14" si="10">D9+C9</f>
        <v>6698785957</v>
      </c>
      <c r="F9" s="1">
        <v>693626428</v>
      </c>
      <c r="G9" s="5">
        <f t="shared" si="6"/>
        <v>0.24119007978166171</v>
      </c>
      <c r="H9" s="5">
        <f t="shared" si="9"/>
        <v>4.631458515144652E-2</v>
      </c>
      <c r="I9" s="5">
        <f t="shared" si="7"/>
        <v>3.3208249141067694E-2</v>
      </c>
      <c r="J9" s="5"/>
      <c r="K9" s="5"/>
      <c r="L9" s="5"/>
      <c r="M9" s="5">
        <f t="shared" si="1"/>
        <v>0.28750466493310822</v>
      </c>
      <c r="N9" s="5">
        <f t="shared" si="2"/>
        <v>3.3208249141067694E-2</v>
      </c>
      <c r="O9" s="5"/>
      <c r="P9" s="5"/>
      <c r="Q9" s="5">
        <f t="shared" si="8"/>
        <v>0.27439832892272942</v>
      </c>
      <c r="R9" s="5">
        <f t="shared" si="3"/>
        <v>0.3207129140741759</v>
      </c>
      <c r="S9" s="10">
        <v>1</v>
      </c>
      <c r="T9" s="9">
        <f t="shared" si="4"/>
        <v>0</v>
      </c>
    </row>
    <row r="10" spans="1:24" ht="12.95" x14ac:dyDescent="0.3">
      <c r="A10" s="2">
        <f t="shared" ref="A10:A14" si="11">1+A9</f>
        <v>2011</v>
      </c>
      <c r="B10" s="1">
        <v>23783231805</v>
      </c>
      <c r="C10" s="1">
        <v>6641209693</v>
      </c>
      <c r="D10" s="1">
        <v>938077503</v>
      </c>
      <c r="E10" s="1">
        <f t="shared" si="10"/>
        <v>7579287196</v>
      </c>
      <c r="F10" s="1">
        <v>785030520</v>
      </c>
      <c r="G10" s="5">
        <f t="shared" si="6"/>
        <v>0.24623142981639876</v>
      </c>
      <c r="H10" s="5">
        <f t="shared" si="9"/>
        <v>3.9442810409087717E-2</v>
      </c>
      <c r="I10" s="5">
        <f t="shared" si="7"/>
        <v>3.3007731095441847E-2</v>
      </c>
      <c r="J10" s="5"/>
      <c r="K10" s="5"/>
      <c r="L10" s="5"/>
      <c r="M10" s="5">
        <f t="shared" si="1"/>
        <v>0.28567424022548649</v>
      </c>
      <c r="N10" s="5">
        <f t="shared" si="2"/>
        <v>3.3007731095441847E-2</v>
      </c>
      <c r="O10" s="5"/>
      <c r="P10" s="5"/>
      <c r="Q10" s="5">
        <f t="shared" si="8"/>
        <v>0.27923916091184059</v>
      </c>
      <c r="R10" s="5">
        <f t="shared" si="3"/>
        <v>0.31868197132092829</v>
      </c>
      <c r="S10" s="10">
        <v>1</v>
      </c>
      <c r="T10" s="9">
        <f t="shared" si="4"/>
        <v>0</v>
      </c>
    </row>
    <row r="11" spans="1:24" ht="12.95" x14ac:dyDescent="0.3">
      <c r="A11" s="2">
        <f t="shared" si="11"/>
        <v>2012</v>
      </c>
      <c r="B11" s="1">
        <v>26648356908</v>
      </c>
      <c r="C11" s="1">
        <v>7459456898</v>
      </c>
      <c r="D11" s="1">
        <v>855703932</v>
      </c>
      <c r="E11" s="1">
        <f t="shared" si="10"/>
        <v>8315160830</v>
      </c>
      <c r="F11" s="1">
        <v>942529533.48000002</v>
      </c>
      <c r="G11" s="5">
        <f t="shared" si="6"/>
        <v>0.24455268994703305</v>
      </c>
      <c r="H11" s="5">
        <f t="shared" si="9"/>
        <v>3.2110945337238128E-2</v>
      </c>
      <c r="I11" s="5">
        <f t="shared" si="7"/>
        <v>3.536914252289404E-2</v>
      </c>
      <c r="J11" s="5"/>
      <c r="K11" s="5"/>
      <c r="L11" s="5"/>
      <c r="M11" s="5">
        <f t="shared" si="1"/>
        <v>0.27666363528427118</v>
      </c>
      <c r="N11" s="5">
        <f t="shared" si="2"/>
        <v>3.536914252289404E-2</v>
      </c>
      <c r="O11" s="5"/>
      <c r="P11" s="5"/>
      <c r="Q11" s="5">
        <f t="shared" si="8"/>
        <v>0.27992183246992708</v>
      </c>
      <c r="R11" s="5">
        <f t="shared" si="3"/>
        <v>0.31203277780716521</v>
      </c>
      <c r="S11" s="10">
        <v>1</v>
      </c>
      <c r="T11" s="9">
        <f t="shared" si="4"/>
        <v>0</v>
      </c>
    </row>
    <row r="12" spans="1:24" ht="12.95" x14ac:dyDescent="0.3">
      <c r="A12" s="2">
        <f t="shared" si="11"/>
        <v>2013</v>
      </c>
      <c r="B12" s="1">
        <v>28463801898</v>
      </c>
      <c r="C12" s="1">
        <v>8064074408</v>
      </c>
      <c r="D12" s="1">
        <v>926063773</v>
      </c>
      <c r="E12" s="1">
        <f t="shared" si="10"/>
        <v>8990138181</v>
      </c>
      <c r="F12" s="1">
        <v>1330477160.0999999</v>
      </c>
      <c r="G12" s="5">
        <f t="shared" si="6"/>
        <v>0.23656703598591072</v>
      </c>
      <c r="H12" s="5">
        <f t="shared" si="9"/>
        <v>3.2534788441774168E-2</v>
      </c>
      <c r="I12" s="5">
        <f t="shared" si="7"/>
        <v>4.6742777541375645E-2</v>
      </c>
      <c r="J12" s="5"/>
      <c r="K12" s="5"/>
      <c r="L12" s="5"/>
      <c r="M12" s="5">
        <f t="shared" si="1"/>
        <v>0.26910182442768488</v>
      </c>
      <c r="N12" s="5">
        <f t="shared" si="2"/>
        <v>4.6742777541375645E-2</v>
      </c>
      <c r="O12" s="5"/>
      <c r="P12" s="5"/>
      <c r="Q12" s="5">
        <f t="shared" si="8"/>
        <v>0.2833098135272864</v>
      </c>
      <c r="R12" s="5">
        <f t="shared" si="3"/>
        <v>0.31584460196906056</v>
      </c>
      <c r="S12" s="10">
        <v>1</v>
      </c>
      <c r="T12" s="9">
        <f t="shared" si="4"/>
        <v>0</v>
      </c>
    </row>
    <row r="13" spans="1:24" ht="12.95" x14ac:dyDescent="0.3">
      <c r="A13" s="2">
        <f t="shared" si="11"/>
        <v>2014</v>
      </c>
      <c r="B13" s="1">
        <v>30608169934</v>
      </c>
      <c r="C13" s="1">
        <v>9045614569</v>
      </c>
      <c r="D13" s="1">
        <v>1299403669</v>
      </c>
      <c r="E13" s="1">
        <f t="shared" si="10"/>
        <v>10345018238</v>
      </c>
      <c r="F13" s="1">
        <v>1391749827.79</v>
      </c>
      <c r="G13" s="5">
        <f>(C13-F13*S13)/B13</f>
        <v>0.25915351110086399</v>
      </c>
      <c r="H13" s="5">
        <f>(D13-T13*F13)/B13</f>
        <v>3.3358861560285537E-2</v>
      </c>
      <c r="I13" s="5">
        <f t="shared" si="7"/>
        <v>4.5469880453193119E-2</v>
      </c>
      <c r="J13" s="5"/>
      <c r="K13" s="5"/>
      <c r="L13" s="5"/>
      <c r="M13" s="5">
        <f t="shared" si="1"/>
        <v>0.29251237266114949</v>
      </c>
      <c r="N13" s="5">
        <f t="shared" si="2"/>
        <v>4.5469880453193119E-2</v>
      </c>
      <c r="O13" s="5"/>
      <c r="P13" s="5"/>
      <c r="Q13" s="5">
        <f t="shared" si="8"/>
        <v>0.29552941546341849</v>
      </c>
      <c r="R13" s="5">
        <f>E13/B13</f>
        <v>0.33798225311434266</v>
      </c>
      <c r="S13" s="10">
        <v>0.8</v>
      </c>
      <c r="T13" s="9">
        <f t="shared" si="4"/>
        <v>0.19999999999999996</v>
      </c>
      <c r="U13" t="s">
        <v>8</v>
      </c>
    </row>
    <row r="14" spans="1:24" ht="12.95" x14ac:dyDescent="0.3">
      <c r="A14" s="2">
        <f t="shared" si="11"/>
        <v>2015</v>
      </c>
      <c r="B14" s="1">
        <v>33101361337</v>
      </c>
      <c r="C14" s="1">
        <f>10948928662-1452388018</f>
        <v>9496540644</v>
      </c>
      <c r="D14" s="1">
        <v>1977765909</v>
      </c>
      <c r="E14" s="1">
        <f t="shared" si="10"/>
        <v>11474306553</v>
      </c>
      <c r="F14" s="1">
        <v>1203335551.5699999</v>
      </c>
      <c r="G14" s="5">
        <f>(C14-F14*S14)/B14</f>
        <v>0.26508091989709215</v>
      </c>
      <c r="H14" s="5">
        <f t="shared" si="9"/>
        <v>4.5207557270441331E-2</v>
      </c>
      <c r="I14" s="5">
        <f t="shared" si="7"/>
        <v>3.6353053257206586E-2</v>
      </c>
      <c r="J14" s="5"/>
      <c r="K14" s="5"/>
      <c r="L14" s="5"/>
      <c r="M14" s="5">
        <f>(E14-F14)/B14</f>
        <v>0.31028847716753349</v>
      </c>
      <c r="N14" s="5">
        <f t="shared" si="2"/>
        <v>3.6353053257206586E-2</v>
      </c>
      <c r="O14" s="5"/>
      <c r="P14" s="5"/>
      <c r="Q14" s="5">
        <f>C14/B14</f>
        <v>0.28689275185141611</v>
      </c>
      <c r="R14" s="5">
        <f t="shared" si="3"/>
        <v>0.34664153042474005</v>
      </c>
      <c r="S14" s="10">
        <v>0.6</v>
      </c>
      <c r="T14" s="9">
        <f t="shared" si="4"/>
        <v>0.4</v>
      </c>
    </row>
    <row r="15" spans="1:24" ht="12.95" x14ac:dyDescent="0.3">
      <c r="A15" s="2">
        <v>2016</v>
      </c>
      <c r="B15" s="1">
        <v>33729045773</v>
      </c>
      <c r="C15" s="1">
        <v>9680109301</v>
      </c>
      <c r="D15" s="1">
        <f>1716817246+C64</f>
        <v>2669078528.9499998</v>
      </c>
      <c r="E15" s="1">
        <f>D15+C15</f>
        <v>12349187829.950001</v>
      </c>
      <c r="F15" s="1">
        <f>SUM(C62:C64)</f>
        <v>2322588494.9499998</v>
      </c>
      <c r="G15" s="5">
        <f>(C15-F15*S15)/B15</f>
        <v>0.25945216363118129</v>
      </c>
      <c r="H15" s="5">
        <f>(D15-T15*F15)/B15</f>
        <v>3.7816825313245428E-2</v>
      </c>
      <c r="I15" s="5">
        <f t="shared" si="7"/>
        <v>6.8860189837010602E-2</v>
      </c>
      <c r="J15" s="8"/>
      <c r="K15" s="5"/>
      <c r="L15" s="5"/>
      <c r="M15" s="5">
        <f>(E15-F15)/B15</f>
        <v>0.29726898894442672</v>
      </c>
      <c r="N15" s="5">
        <f>F15/B15</f>
        <v>6.8860189837010602E-2</v>
      </c>
      <c r="O15" s="5"/>
      <c r="P15" s="5"/>
      <c r="Q15" s="5">
        <f>C15/B15</f>
        <v>0.28699623956598552</v>
      </c>
      <c r="R15" s="5">
        <f t="shared" si="3"/>
        <v>0.36612917878143736</v>
      </c>
      <c r="S15" s="10">
        <v>0.4</v>
      </c>
      <c r="T15" s="9">
        <f t="shared" si="4"/>
        <v>0.6</v>
      </c>
    </row>
    <row r="16" spans="1:24" ht="12.95" x14ac:dyDescent="0.3">
      <c r="A16" s="2">
        <v>2017</v>
      </c>
      <c r="B16" s="1"/>
      <c r="C16" s="1"/>
      <c r="D16" s="1"/>
      <c r="E16" s="1"/>
      <c r="F16" s="1"/>
      <c r="G16" s="1"/>
      <c r="H16" s="5"/>
      <c r="I16" s="12"/>
      <c r="J16" s="8"/>
      <c r="K16" s="12"/>
      <c r="L16" s="12"/>
      <c r="M16" s="5"/>
      <c r="N16" s="5"/>
      <c r="O16" s="5"/>
      <c r="P16" s="1"/>
      <c r="Q16" s="1"/>
      <c r="R16" s="5"/>
      <c r="S16" s="10">
        <v>0.2</v>
      </c>
      <c r="T16" s="9">
        <f t="shared" si="4"/>
        <v>0.8</v>
      </c>
    </row>
    <row r="17" spans="1:20" ht="12.95" x14ac:dyDescent="0.3">
      <c r="A17" s="2">
        <v>2018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0">
        <v>0</v>
      </c>
      <c r="T17" s="9">
        <f t="shared" si="4"/>
        <v>1</v>
      </c>
    </row>
    <row r="18" spans="1:20" ht="12.95" x14ac:dyDescent="0.3">
      <c r="A18" s="2"/>
      <c r="B18" s="8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0"/>
      <c r="T18" s="9"/>
    </row>
    <row r="19" spans="1:20" ht="12.95" x14ac:dyDescent="0.3">
      <c r="A19" s="3"/>
      <c r="B19" s="13"/>
      <c r="C19" s="13"/>
      <c r="D19" s="13"/>
      <c r="E19" s="1"/>
      <c r="J19" s="5"/>
    </row>
    <row r="60" spans="1:4" x14ac:dyDescent="0.2">
      <c r="B60" t="s">
        <v>20</v>
      </c>
      <c r="D60" t="s">
        <v>21</v>
      </c>
    </row>
    <row r="62" spans="1:4" x14ac:dyDescent="0.2">
      <c r="A62" t="s">
        <v>22</v>
      </c>
      <c r="B62" s="7">
        <v>0.4</v>
      </c>
      <c r="C62" s="21">
        <v>929035398</v>
      </c>
    </row>
    <row r="63" spans="1:4" x14ac:dyDescent="0.2">
      <c r="A63" t="s">
        <v>13</v>
      </c>
      <c r="B63" s="7">
        <v>0.19</v>
      </c>
      <c r="C63" s="21">
        <v>441291814</v>
      </c>
    </row>
    <row r="64" spans="1:4" x14ac:dyDescent="0.2">
      <c r="A64" t="s">
        <v>23</v>
      </c>
      <c r="B64" s="7">
        <v>0.41</v>
      </c>
      <c r="C64" s="21">
        <f>(B64/B62)*C62</f>
        <v>952261282.94999993</v>
      </c>
    </row>
    <row r="66" spans="1:3" x14ac:dyDescent="0.2">
      <c r="A66" t="s">
        <v>2</v>
      </c>
      <c r="C66" s="13">
        <f>E15-C64</f>
        <v>11396926547</v>
      </c>
    </row>
  </sheetData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9"/>
  <sheetViews>
    <sheetView topLeftCell="A25" zoomScaleNormal="100" workbookViewId="0">
      <selection activeCell="B13" sqref="B13"/>
    </sheetView>
  </sheetViews>
  <sheetFormatPr defaultRowHeight="12.75" x14ac:dyDescent="0.2"/>
  <cols>
    <col min="1" max="1" width="11.85546875" bestFit="1" customWidth="1"/>
    <col min="2" max="2" width="21.5703125" bestFit="1" customWidth="1"/>
    <col min="3" max="3" width="17.42578125" bestFit="1" customWidth="1"/>
    <col min="4" max="5" width="17.42578125" customWidth="1"/>
    <col min="7" max="7" width="6.42578125" bestFit="1" customWidth="1"/>
    <col min="8" max="8" width="16.140625" bestFit="1" customWidth="1"/>
    <col min="9" max="9" width="17.42578125" bestFit="1" customWidth="1"/>
    <col min="10" max="10" width="16.140625" bestFit="1" customWidth="1"/>
    <col min="11" max="11" width="17.42578125" bestFit="1" customWidth="1"/>
  </cols>
  <sheetData>
    <row r="1" spans="1:5" ht="12.6" x14ac:dyDescent="0.25">
      <c r="B1" t="s">
        <v>37</v>
      </c>
      <c r="C1" t="s">
        <v>9</v>
      </c>
    </row>
    <row r="2" spans="1:5" ht="12.95" x14ac:dyDescent="0.3">
      <c r="A2" s="2">
        <v>2007</v>
      </c>
      <c r="B2" s="6">
        <v>0.26229999999999998</v>
      </c>
      <c r="C2" s="7">
        <v>0.15</v>
      </c>
      <c r="D2" s="7"/>
      <c r="E2" s="7"/>
    </row>
    <row r="3" spans="1:5" ht="12.95" x14ac:dyDescent="0.3">
      <c r="A3" s="2">
        <v>2008</v>
      </c>
      <c r="C3" s="7">
        <v>0.15</v>
      </c>
      <c r="D3" s="7"/>
      <c r="E3" s="7"/>
    </row>
    <row r="4" spans="1:5" ht="12.95" x14ac:dyDescent="0.3">
      <c r="A4" s="2">
        <v>2009</v>
      </c>
      <c r="B4" s="6">
        <v>0.1981</v>
      </c>
      <c r="C4" s="7">
        <v>0.15</v>
      </c>
      <c r="D4" s="7"/>
      <c r="E4" s="7"/>
    </row>
    <row r="5" spans="1:5" ht="12.95" x14ac:dyDescent="0.3">
      <c r="A5" s="2">
        <f>1+A4</f>
        <v>2010</v>
      </c>
      <c r="B5" s="6">
        <v>0.18559999999999999</v>
      </c>
      <c r="C5" s="7">
        <v>0.15</v>
      </c>
      <c r="D5" s="7"/>
      <c r="E5" s="7"/>
    </row>
    <row r="6" spans="1:5" ht="12.95" x14ac:dyDescent="0.3">
      <c r="A6" s="2">
        <f t="shared" ref="A6:A11" si="0">1+A5</f>
        <v>2011</v>
      </c>
      <c r="B6" s="6">
        <v>0.183</v>
      </c>
      <c r="C6" s="7">
        <v>0.15</v>
      </c>
      <c r="D6" s="7"/>
      <c r="E6" s="7"/>
    </row>
    <row r="7" spans="1:5" ht="12.95" x14ac:dyDescent="0.3">
      <c r="A7" s="2">
        <f t="shared" si="0"/>
        <v>2012</v>
      </c>
      <c r="B7" s="6">
        <v>0.18099999999999999</v>
      </c>
      <c r="C7" s="7">
        <v>0.15</v>
      </c>
      <c r="D7" s="7"/>
      <c r="E7" s="7"/>
    </row>
    <row r="8" spans="1:5" ht="12.95" x14ac:dyDescent="0.3">
      <c r="A8" s="2">
        <f t="shared" si="0"/>
        <v>2013</v>
      </c>
      <c r="B8" s="6">
        <v>0.17760000000000001</v>
      </c>
      <c r="C8" s="7">
        <v>0.15</v>
      </c>
      <c r="D8" s="7"/>
      <c r="E8" s="7"/>
    </row>
    <row r="9" spans="1:5" ht="12.95" x14ac:dyDescent="0.3">
      <c r="A9" s="2">
        <f t="shared" si="0"/>
        <v>2014</v>
      </c>
      <c r="B9" s="6">
        <v>0.1842</v>
      </c>
      <c r="C9" s="7">
        <v>0.15</v>
      </c>
      <c r="D9" s="7"/>
      <c r="E9" s="7"/>
    </row>
    <row r="10" spans="1:5" ht="12.95" x14ac:dyDescent="0.3">
      <c r="A10" s="2">
        <f t="shared" si="0"/>
        <v>2015</v>
      </c>
      <c r="B10" s="6">
        <v>0.1946</v>
      </c>
      <c r="C10" s="7">
        <v>0.15</v>
      </c>
      <c r="D10" s="7"/>
      <c r="E10" s="7"/>
    </row>
    <row r="11" spans="1:5" ht="12.95" x14ac:dyDescent="0.3">
      <c r="A11" s="2">
        <f t="shared" si="0"/>
        <v>2016</v>
      </c>
      <c r="B11" s="6">
        <f>D29</f>
        <v>0.22399883522702324</v>
      </c>
      <c r="C11" s="7">
        <v>0.15</v>
      </c>
      <c r="D11" s="7"/>
      <c r="E11" s="7"/>
    </row>
    <row r="12" spans="1:5" x14ac:dyDescent="0.2">
      <c r="A12" s="3" t="s">
        <v>40</v>
      </c>
      <c r="B12" s="5">
        <f>D33</f>
        <v>0.19765112741857271</v>
      </c>
      <c r="C12" s="7">
        <v>0.15</v>
      </c>
      <c r="D12" s="7"/>
      <c r="E12" s="7"/>
    </row>
    <row r="13" spans="1:5" ht="12.6" x14ac:dyDescent="0.25">
      <c r="B13" s="14"/>
    </row>
    <row r="14" spans="1:5" ht="12.6" x14ac:dyDescent="0.25">
      <c r="B14" s="14"/>
    </row>
    <row r="23" spans="1:6" x14ac:dyDescent="0.2">
      <c r="B23" t="s">
        <v>38</v>
      </c>
      <c r="C23" t="s">
        <v>19</v>
      </c>
      <c r="E23" s="6"/>
    </row>
    <row r="24" spans="1:6" ht="12.6" x14ac:dyDescent="0.25">
      <c r="A24" s="15">
        <v>42401</v>
      </c>
      <c r="B24" s="18">
        <v>7373299437.5200005</v>
      </c>
      <c r="C24" s="18">
        <v>1053044042.15</v>
      </c>
      <c r="D24" s="5">
        <f t="shared" ref="D24:D29" si="1">C24/B24</f>
        <v>0.14281856461592315</v>
      </c>
      <c r="E24" s="6"/>
    </row>
    <row r="25" spans="1:6" ht="12.6" x14ac:dyDescent="0.25">
      <c r="A25" s="15">
        <v>42461</v>
      </c>
      <c r="B25" s="18">
        <v>12934574651.610001</v>
      </c>
      <c r="C25" s="18">
        <v>2285985326.6700001</v>
      </c>
      <c r="D25" s="5">
        <f t="shared" si="1"/>
        <v>0.17673448012343085</v>
      </c>
      <c r="E25" s="6"/>
    </row>
    <row r="26" spans="1:6" ht="12.6" x14ac:dyDescent="0.25">
      <c r="A26" s="15">
        <v>42522</v>
      </c>
      <c r="B26" s="18">
        <v>18193255172.880001</v>
      </c>
      <c r="C26" s="18">
        <v>3817114436.5300002</v>
      </c>
      <c r="D26" s="5">
        <f t="shared" si="1"/>
        <v>0.20980931670875635</v>
      </c>
      <c r="E26" s="6"/>
    </row>
    <row r="27" spans="1:6" ht="12.6" x14ac:dyDescent="0.25">
      <c r="A27" s="15">
        <v>42583</v>
      </c>
      <c r="B27" s="18">
        <v>23449038108.650002</v>
      </c>
      <c r="C27" s="18">
        <v>4974191726.3699999</v>
      </c>
      <c r="D27" s="5">
        <f t="shared" si="1"/>
        <v>0.21212775139527343</v>
      </c>
      <c r="E27" s="6"/>
    </row>
    <row r="28" spans="1:6" ht="12.6" x14ac:dyDescent="0.25">
      <c r="A28" s="15">
        <v>42644</v>
      </c>
      <c r="B28" s="18">
        <v>28545595637.02</v>
      </c>
      <c r="C28" s="18">
        <v>6129101452.5500002</v>
      </c>
      <c r="D28" s="5">
        <f t="shared" si="1"/>
        <v>0.21471268389303941</v>
      </c>
      <c r="E28" s="6"/>
    </row>
    <row r="29" spans="1:6" ht="12.6" x14ac:dyDescent="0.25">
      <c r="A29" s="19">
        <v>2016</v>
      </c>
      <c r="B29" s="18">
        <v>33707949671.869999</v>
      </c>
      <c r="C29" s="18">
        <v>7550541464.3900003</v>
      </c>
      <c r="D29" s="5">
        <f t="shared" si="1"/>
        <v>0.22399883522702324</v>
      </c>
      <c r="E29" s="6"/>
    </row>
    <row r="30" spans="1:6" ht="12.6" x14ac:dyDescent="0.25">
      <c r="A30" s="15">
        <v>42767</v>
      </c>
      <c r="B30" s="18">
        <v>7659005323.4899998</v>
      </c>
      <c r="C30" s="18">
        <v>1210558277.5</v>
      </c>
      <c r="D30" s="5">
        <f>C30/B30</f>
        <v>0.15805685286407159</v>
      </c>
      <c r="E30" s="6"/>
    </row>
    <row r="31" spans="1:6" ht="12.6" x14ac:dyDescent="0.25">
      <c r="A31" s="15">
        <v>42826</v>
      </c>
      <c r="B31" s="18">
        <v>13418443772.76</v>
      </c>
      <c r="C31" s="18">
        <v>2390437616.21</v>
      </c>
      <c r="D31" s="5">
        <f>C31/B31</f>
        <v>0.17814566701562576</v>
      </c>
      <c r="E31" s="5"/>
    </row>
    <row r="32" spans="1:6" ht="12.6" x14ac:dyDescent="0.25">
      <c r="A32" s="15">
        <v>42887</v>
      </c>
      <c r="B32" s="18">
        <v>19082754891.889999</v>
      </c>
      <c r="C32" s="18">
        <v>3834261554.4200001</v>
      </c>
      <c r="D32" s="5">
        <f>C32/B32</f>
        <v>0.20092809325185679</v>
      </c>
      <c r="E32" s="5"/>
      <c r="F32" s="14"/>
    </row>
    <row r="33" spans="1:6" ht="12.6" x14ac:dyDescent="0.25">
      <c r="A33" s="15">
        <v>42948</v>
      </c>
      <c r="B33" s="18">
        <v>24799506107.139999</v>
      </c>
      <c r="C33" s="18">
        <v>4901650341.5</v>
      </c>
      <c r="D33" s="5">
        <f>C33/B33</f>
        <v>0.19765112741857271</v>
      </c>
      <c r="E33" s="5"/>
      <c r="F33" s="14"/>
    </row>
    <row r="34" spans="1:6" ht="12.6" x14ac:dyDescent="0.25">
      <c r="A34" s="15">
        <v>43009</v>
      </c>
    </row>
    <row r="35" spans="1:6" ht="12.6" x14ac:dyDescent="0.25">
      <c r="A35" s="20">
        <v>2017</v>
      </c>
    </row>
    <row r="38" spans="1:6" x14ac:dyDescent="0.2">
      <c r="A38" s="2">
        <v>2009</v>
      </c>
      <c r="E38" s="6">
        <v>0.1981</v>
      </c>
    </row>
    <row r="39" spans="1:6" x14ac:dyDescent="0.2">
      <c r="A39" s="2">
        <f>1+A38</f>
        <v>2010</v>
      </c>
      <c r="E39" s="6">
        <v>0.18559999999999999</v>
      </c>
    </row>
    <row r="40" spans="1:6" x14ac:dyDescent="0.2">
      <c r="A40" s="2">
        <f t="shared" ref="A40:A45" si="2">1+A39</f>
        <v>2011</v>
      </c>
      <c r="E40" s="6">
        <v>0.183</v>
      </c>
    </row>
    <row r="41" spans="1:6" x14ac:dyDescent="0.2">
      <c r="A41" s="2">
        <f t="shared" si="2"/>
        <v>2012</v>
      </c>
      <c r="E41" s="6">
        <v>0.18099999999999999</v>
      </c>
    </row>
    <row r="42" spans="1:6" x14ac:dyDescent="0.2">
      <c r="A42" s="2">
        <f t="shared" si="2"/>
        <v>2013</v>
      </c>
      <c r="E42" s="6">
        <v>0.17760000000000001</v>
      </c>
    </row>
    <row r="43" spans="1:6" x14ac:dyDescent="0.2">
      <c r="A43" s="2">
        <f t="shared" si="2"/>
        <v>2014</v>
      </c>
      <c r="E43" s="6">
        <v>0.1842</v>
      </c>
    </row>
    <row r="44" spans="1:6" x14ac:dyDescent="0.2">
      <c r="A44" s="2">
        <f t="shared" si="2"/>
        <v>2015</v>
      </c>
      <c r="E44" s="6">
        <v>0.1946</v>
      </c>
    </row>
    <row r="45" spans="1:6" x14ac:dyDescent="0.2">
      <c r="A45" s="2">
        <f t="shared" si="2"/>
        <v>2016</v>
      </c>
      <c r="D45" s="6">
        <f>E45</f>
        <v>0.22399883522702324</v>
      </c>
      <c r="E45" s="6">
        <f>D29</f>
        <v>0.22399883522702324</v>
      </c>
    </row>
    <row r="46" spans="1:6" x14ac:dyDescent="0.2">
      <c r="A46" s="15">
        <v>42767</v>
      </c>
      <c r="B46" s="18">
        <f>B30+$B$29-B24</f>
        <v>33993655557.84</v>
      </c>
      <c r="C46" s="18">
        <f>C30+$C$29-C24</f>
        <v>7708055699.7399998</v>
      </c>
      <c r="D46" s="5">
        <f>C46/B46</f>
        <v>0.22674983238048022</v>
      </c>
    </row>
    <row r="47" spans="1:6" x14ac:dyDescent="0.2">
      <c r="A47" s="15">
        <v>42826</v>
      </c>
      <c r="B47" s="18">
        <f t="shared" ref="B47:B49" si="3">B31+$B$29-B25</f>
        <v>34191818793.019997</v>
      </c>
      <c r="C47" s="18">
        <f t="shared" ref="C47:C49" si="4">C31+$C$29-C25</f>
        <v>7654993753.9300003</v>
      </c>
      <c r="D47" s="5">
        <f t="shared" ref="D47:D49" si="5">C47/B47</f>
        <v>0.22388378343572382</v>
      </c>
      <c r="E47" s="6"/>
    </row>
    <row r="48" spans="1:6" x14ac:dyDescent="0.2">
      <c r="A48" s="15">
        <v>42887</v>
      </c>
      <c r="B48" s="18">
        <f t="shared" si="3"/>
        <v>34597449390.87999</v>
      </c>
      <c r="C48" s="18">
        <f t="shared" si="4"/>
        <v>7567688582.2800007</v>
      </c>
      <c r="D48" s="5">
        <f t="shared" si="5"/>
        <v>0.21873544771409856</v>
      </c>
      <c r="E48" s="6"/>
    </row>
    <row r="49" spans="1:5" x14ac:dyDescent="0.2">
      <c r="A49" s="15">
        <v>42948</v>
      </c>
      <c r="B49" s="18">
        <f t="shared" si="3"/>
        <v>35058417670.359993</v>
      </c>
      <c r="C49" s="18">
        <f t="shared" si="4"/>
        <v>7478000079.5199995</v>
      </c>
      <c r="D49" s="5">
        <f t="shared" si="5"/>
        <v>0.21330112927036768</v>
      </c>
      <c r="E49" s="6"/>
    </row>
  </sheetData>
  <pageMargins left="0.511811024" right="0.511811024" top="0.78740157499999996" bottom="0.78740157499999996" header="0.31496062000000002" footer="0.31496062000000002"/>
  <pageSetup paperSize="9" orientation="portrait" verticalDpi="9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A4" sqref="A4"/>
    </sheetView>
  </sheetViews>
  <sheetFormatPr defaultRowHeight="12.75" x14ac:dyDescent="0.2"/>
  <cols>
    <col min="1" max="1" width="26.7109375" bestFit="1" customWidth="1"/>
    <col min="2" max="2" width="9.7109375" bestFit="1" customWidth="1"/>
    <col min="3" max="3" width="10.140625" bestFit="1" customWidth="1"/>
    <col min="4" max="4" width="9.7109375" bestFit="1" customWidth="1"/>
  </cols>
  <sheetData>
    <row r="1" spans="1:4" ht="12.6" x14ac:dyDescent="0.25">
      <c r="A1" s="26"/>
      <c r="B1" s="26" t="s">
        <v>26</v>
      </c>
      <c r="C1" s="26" t="s">
        <v>27</v>
      </c>
      <c r="D1" s="26" t="s">
        <v>17</v>
      </c>
    </row>
    <row r="2" spans="1:4" ht="12.6" x14ac:dyDescent="0.25">
      <c r="A2" s="26" t="s">
        <v>28</v>
      </c>
      <c r="B2" s="27">
        <v>1742557</v>
      </c>
      <c r="C2" s="27">
        <v>3604070</v>
      </c>
      <c r="D2" s="27">
        <v>5346627</v>
      </c>
    </row>
    <row r="3" spans="1:4" x14ac:dyDescent="0.2">
      <c r="A3" s="26" t="s">
        <v>36</v>
      </c>
      <c r="B3" s="27">
        <v>-1436802</v>
      </c>
      <c r="C3" s="27">
        <v>-753530</v>
      </c>
      <c r="D3" s="27">
        <v>-2190332</v>
      </c>
    </row>
    <row r="4" spans="1:4" ht="12.6" x14ac:dyDescent="0.25">
      <c r="A4" s="26"/>
      <c r="B4" s="27">
        <f>B2+B3</f>
        <v>305755</v>
      </c>
      <c r="C4" s="26"/>
      <c r="D4" s="26"/>
    </row>
    <row r="6" spans="1:4" ht="12.6" x14ac:dyDescent="0.25">
      <c r="B6" s="16">
        <f>B2/$D$2</f>
        <v>0.32591706883610921</v>
      </c>
      <c r="C6" s="16">
        <f>C2/$D$2</f>
        <v>0.67408293116389084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0"/>
  <sheetViews>
    <sheetView topLeftCell="A2" workbookViewId="0">
      <selection activeCell="A2" sqref="A2"/>
    </sheetView>
  </sheetViews>
  <sheetFormatPr defaultRowHeight="12.75" x14ac:dyDescent="0.2"/>
  <cols>
    <col min="1" max="1" width="6.5703125" bestFit="1" customWidth="1"/>
    <col min="2" max="2" width="17.7109375" bestFit="1" customWidth="1"/>
    <col min="3" max="3" width="16.7109375" bestFit="1" customWidth="1"/>
    <col min="4" max="4" width="16.7109375" customWidth="1"/>
    <col min="5" max="5" width="17.7109375" bestFit="1" customWidth="1"/>
    <col min="6" max="6" width="16.5703125" bestFit="1" customWidth="1"/>
    <col min="7" max="7" width="17.7109375" bestFit="1" customWidth="1"/>
    <col min="10" max="11" width="7" bestFit="1" customWidth="1"/>
    <col min="12" max="13" width="7" customWidth="1"/>
  </cols>
  <sheetData>
    <row r="1" spans="1:17" x14ac:dyDescent="0.2">
      <c r="B1" s="28" t="s">
        <v>30</v>
      </c>
      <c r="C1" s="28"/>
      <c r="D1" s="22"/>
      <c r="E1" s="28" t="s">
        <v>31</v>
      </c>
      <c r="F1" s="28"/>
    </row>
    <row r="2" spans="1:17" x14ac:dyDescent="0.2">
      <c r="B2" t="s">
        <v>32</v>
      </c>
      <c r="C2" t="s">
        <v>33</v>
      </c>
      <c r="E2" t="s">
        <v>32</v>
      </c>
      <c r="F2" t="s">
        <v>33</v>
      </c>
      <c r="I2" t="s">
        <v>32</v>
      </c>
      <c r="J2" t="s">
        <v>33</v>
      </c>
      <c r="K2" t="s">
        <v>17</v>
      </c>
      <c r="O2" t="s">
        <v>32</v>
      </c>
      <c r="P2" t="s">
        <v>33</v>
      </c>
      <c r="Q2" t="s">
        <v>35</v>
      </c>
    </row>
    <row r="3" spans="1:17" ht="12.6" x14ac:dyDescent="0.25">
      <c r="A3">
        <v>2005</v>
      </c>
      <c r="B3" s="1">
        <v>14596450900</v>
      </c>
      <c r="C3" s="1">
        <v>1095211600</v>
      </c>
      <c r="D3">
        <v>2005</v>
      </c>
      <c r="E3" s="1">
        <v>14758019494.459999</v>
      </c>
      <c r="F3" s="1">
        <v>797904123.03999996</v>
      </c>
      <c r="G3" s="13"/>
      <c r="I3" s="8">
        <f>E3/B3-1</f>
        <v>1.1069032846881877E-2</v>
      </c>
      <c r="J3" s="8">
        <f>F3/C3-1</f>
        <v>-0.27146121987751048</v>
      </c>
      <c r="K3" s="8">
        <f>SUM(E3:F3)/SUM(B3:C3)-1</f>
        <v>-8.6503824881525304E-3</v>
      </c>
      <c r="L3" s="8"/>
      <c r="M3" s="8"/>
      <c r="N3">
        <v>2005</v>
      </c>
      <c r="O3" s="24">
        <f>E3/1000000000</f>
        <v>14.758019494459999</v>
      </c>
      <c r="P3" s="24">
        <f>F3/1000000000</f>
        <v>0.79790412303999991</v>
      </c>
      <c r="Q3" s="24">
        <f>SUM(B3:C3)/1000000000</f>
        <v>15.6916625</v>
      </c>
    </row>
    <row r="4" spans="1:17" ht="12.6" x14ac:dyDescent="0.25">
      <c r="A4">
        <f>A3+1</f>
        <v>2006</v>
      </c>
      <c r="B4" s="1">
        <v>16510080700</v>
      </c>
      <c r="C4" s="1">
        <v>1234834000</v>
      </c>
      <c r="D4">
        <f>D3+1</f>
        <v>2006</v>
      </c>
      <c r="E4" s="1">
        <v>17333426274.119999</v>
      </c>
      <c r="F4" s="1">
        <v>353795080.63</v>
      </c>
      <c r="I4" s="8">
        <f t="shared" ref="I4:I15" si="0">E4/B4-1</f>
        <v>4.9869264062410101E-2</v>
      </c>
      <c r="J4" s="8">
        <f t="shared" ref="J4:J15" si="1">F4/C4-1</f>
        <v>-0.71348773954231903</v>
      </c>
      <c r="K4" s="8">
        <f t="shared" ref="K4:K15" si="2">SUM(E4:F4)/SUM(B4:C4)-1</f>
        <v>-3.2512607823356188E-3</v>
      </c>
      <c r="L4" s="8"/>
      <c r="M4" s="8"/>
      <c r="N4">
        <f>N3+1</f>
        <v>2006</v>
      </c>
      <c r="O4" s="24">
        <f t="shared" ref="O4:O15" si="3">E4/1000000000</f>
        <v>17.333426274120001</v>
      </c>
      <c r="P4" s="24">
        <f t="shared" ref="P4:P15" si="4">F4/1000000000</f>
        <v>0.35379508062999998</v>
      </c>
      <c r="Q4" s="24">
        <f t="shared" ref="Q4:Q15" si="5">SUM(B4:C4)/1000000000</f>
        <v>17.744914699999999</v>
      </c>
    </row>
    <row r="5" spans="1:17" ht="12.6" x14ac:dyDescent="0.25">
      <c r="A5">
        <f t="shared" ref="A5:A15" si="6">A4+1</f>
        <v>2007</v>
      </c>
      <c r="B5" s="1">
        <v>20481371423</v>
      </c>
      <c r="C5" s="1">
        <v>1575898400</v>
      </c>
      <c r="D5">
        <f t="shared" ref="D5:D14" si="7">D4+1</f>
        <v>2007</v>
      </c>
      <c r="E5" s="1">
        <v>20134629479.880001</v>
      </c>
      <c r="F5" s="1">
        <v>416983235.02999997</v>
      </c>
      <c r="I5" s="8">
        <f t="shared" si="0"/>
        <v>-1.6929625265748482E-2</v>
      </c>
      <c r="J5" s="8">
        <f t="shared" si="1"/>
        <v>-0.73539967105112869</v>
      </c>
      <c r="K5" s="8">
        <f t="shared" si="2"/>
        <v>-6.8261263527727767E-2</v>
      </c>
      <c r="L5" s="8"/>
      <c r="M5" s="8"/>
      <c r="N5">
        <f t="shared" ref="N5:N14" si="8">N4+1</f>
        <v>2007</v>
      </c>
      <c r="O5" s="24">
        <f t="shared" si="3"/>
        <v>20.134629479880001</v>
      </c>
      <c r="P5" s="24">
        <f t="shared" si="4"/>
        <v>0.41698323502999995</v>
      </c>
      <c r="Q5" s="24">
        <f t="shared" si="5"/>
        <v>22.057269822999999</v>
      </c>
    </row>
    <row r="6" spans="1:17" ht="12.6" x14ac:dyDescent="0.25">
      <c r="A6">
        <f t="shared" si="6"/>
        <v>2008</v>
      </c>
      <c r="B6" s="1">
        <v>23384400340</v>
      </c>
      <c r="C6" s="1">
        <v>2066612902</v>
      </c>
      <c r="D6">
        <f t="shared" si="7"/>
        <v>2008</v>
      </c>
      <c r="E6" s="1">
        <v>23281544070.09</v>
      </c>
      <c r="F6" s="1">
        <v>776819290.60000002</v>
      </c>
      <c r="I6" s="8">
        <f t="shared" si="0"/>
        <v>-4.3984993591672517E-3</v>
      </c>
      <c r="J6" s="8">
        <f t="shared" si="1"/>
        <v>-0.62410991925569625</v>
      </c>
      <c r="K6" s="8">
        <f t="shared" si="2"/>
        <v>-5.4718838423761018E-2</v>
      </c>
      <c r="L6" s="8"/>
      <c r="M6" s="8"/>
      <c r="N6">
        <f t="shared" si="8"/>
        <v>2008</v>
      </c>
      <c r="O6" s="24">
        <f t="shared" si="3"/>
        <v>23.28154407009</v>
      </c>
      <c r="P6" s="24">
        <f t="shared" si="4"/>
        <v>0.77681929059999999</v>
      </c>
      <c r="Q6" s="24">
        <f t="shared" si="5"/>
        <v>25.451013241999998</v>
      </c>
    </row>
    <row r="7" spans="1:17" ht="12.6" x14ac:dyDescent="0.25">
      <c r="A7">
        <f t="shared" si="6"/>
        <v>2009</v>
      </c>
      <c r="B7" s="1">
        <v>25410082015</v>
      </c>
      <c r="C7" s="1">
        <v>2449859933</v>
      </c>
      <c r="D7">
        <f t="shared" si="7"/>
        <v>2009</v>
      </c>
      <c r="E7" s="1">
        <v>24255376106.400002</v>
      </c>
      <c r="F7" s="1">
        <v>948727167.60000002</v>
      </c>
      <c r="I7" s="8">
        <f t="shared" si="0"/>
        <v>-4.5442824935329029E-2</v>
      </c>
      <c r="J7" s="8">
        <f t="shared" si="1"/>
        <v>-0.61274228178497259</v>
      </c>
      <c r="K7" s="8">
        <f t="shared" si="2"/>
        <v>-9.5328219956705817E-2</v>
      </c>
      <c r="L7" s="8"/>
      <c r="M7" s="8"/>
      <c r="N7">
        <f t="shared" si="8"/>
        <v>2009</v>
      </c>
      <c r="O7" s="24">
        <f t="shared" si="3"/>
        <v>24.2553761064</v>
      </c>
      <c r="P7" s="24">
        <f t="shared" si="4"/>
        <v>0.94872716759999998</v>
      </c>
      <c r="Q7" s="24">
        <f t="shared" si="5"/>
        <v>27.859941947999999</v>
      </c>
    </row>
    <row r="8" spans="1:17" ht="12.6" x14ac:dyDescent="0.25">
      <c r="A8">
        <f t="shared" si="6"/>
        <v>2010</v>
      </c>
      <c r="B8" s="1">
        <v>27044745590</v>
      </c>
      <c r="C8" s="1">
        <v>1235836228</v>
      </c>
      <c r="D8">
        <f t="shared" si="7"/>
        <v>2010</v>
      </c>
      <c r="E8" s="1">
        <v>27677834690.310001</v>
      </c>
      <c r="F8" s="1">
        <v>2747793029.98</v>
      </c>
      <c r="I8" s="8">
        <f t="shared" si="0"/>
        <v>2.3408950112072446E-2</v>
      </c>
      <c r="J8" s="8">
        <f t="shared" si="1"/>
        <v>1.2234281272259322</v>
      </c>
      <c r="K8" s="8">
        <f t="shared" si="2"/>
        <v>7.5848718958275496E-2</v>
      </c>
      <c r="L8" s="8"/>
      <c r="M8" s="8"/>
      <c r="N8">
        <f t="shared" si="8"/>
        <v>2010</v>
      </c>
      <c r="O8" s="24">
        <f t="shared" si="3"/>
        <v>27.67783469031</v>
      </c>
      <c r="P8" s="24">
        <f t="shared" si="4"/>
        <v>2.74779302998</v>
      </c>
      <c r="Q8" s="24">
        <f t="shared" si="5"/>
        <v>28.280581818000002</v>
      </c>
    </row>
    <row r="9" spans="1:17" ht="12.6" x14ac:dyDescent="0.25">
      <c r="A9">
        <f t="shared" si="6"/>
        <v>2011</v>
      </c>
      <c r="B9" s="1">
        <v>32131915932</v>
      </c>
      <c r="C9" s="1">
        <v>3866684717</v>
      </c>
      <c r="D9">
        <f t="shared" si="7"/>
        <v>2011</v>
      </c>
      <c r="E9" s="1">
        <v>31581999236.5</v>
      </c>
      <c r="F9" s="1">
        <v>934690311.40999997</v>
      </c>
      <c r="I9" s="8">
        <f t="shared" si="0"/>
        <v>-1.7114345022680166E-2</v>
      </c>
      <c r="J9" s="8">
        <f t="shared" si="1"/>
        <v>-0.75827087548653638</v>
      </c>
      <c r="K9" s="8">
        <f t="shared" si="2"/>
        <v>-9.6723512534277467E-2</v>
      </c>
      <c r="L9" s="8"/>
      <c r="M9" s="8"/>
      <c r="N9">
        <f t="shared" si="8"/>
        <v>2011</v>
      </c>
      <c r="O9" s="24">
        <f t="shared" si="3"/>
        <v>31.5819992365</v>
      </c>
      <c r="P9" s="24">
        <f t="shared" si="4"/>
        <v>0.93469031140999992</v>
      </c>
      <c r="Q9" s="24">
        <f t="shared" si="5"/>
        <v>35.998600648999997</v>
      </c>
    </row>
    <row r="10" spans="1:17" ht="12.6" x14ac:dyDescent="0.25">
      <c r="A10">
        <f t="shared" si="6"/>
        <v>2012</v>
      </c>
      <c r="B10" s="1">
        <v>34806294976</v>
      </c>
      <c r="C10" s="1">
        <v>4312497710</v>
      </c>
      <c r="D10">
        <f t="shared" si="7"/>
        <v>2012</v>
      </c>
      <c r="E10" s="1">
        <v>34850688704.290001</v>
      </c>
      <c r="F10" s="1">
        <v>2825205324.0999999</v>
      </c>
      <c r="I10" s="8">
        <f t="shared" si="0"/>
        <v>1.2754511309120975E-3</v>
      </c>
      <c r="J10" s="8">
        <f t="shared" si="1"/>
        <v>-0.3448795769679377</v>
      </c>
      <c r="K10" s="8">
        <f t="shared" si="2"/>
        <v>-3.6885050855017587E-2</v>
      </c>
      <c r="L10" s="8"/>
      <c r="M10" s="8"/>
      <c r="N10">
        <f t="shared" si="8"/>
        <v>2012</v>
      </c>
      <c r="O10" s="24">
        <f t="shared" si="3"/>
        <v>34.85068870429</v>
      </c>
      <c r="P10" s="24">
        <f t="shared" si="4"/>
        <v>2.8252053240999997</v>
      </c>
      <c r="Q10" s="24">
        <f t="shared" si="5"/>
        <v>39.118792685999999</v>
      </c>
    </row>
    <row r="11" spans="1:17" ht="12.6" x14ac:dyDescent="0.25">
      <c r="A11">
        <f t="shared" si="6"/>
        <v>2013</v>
      </c>
      <c r="B11" s="1">
        <v>36849377798</v>
      </c>
      <c r="C11" s="1">
        <v>5513176070</v>
      </c>
      <c r="D11">
        <f t="shared" si="7"/>
        <v>2013</v>
      </c>
      <c r="E11" s="1">
        <v>37710663491.900002</v>
      </c>
      <c r="F11" s="1">
        <v>1326711263.7</v>
      </c>
      <c r="I11" s="8">
        <f t="shared" si="0"/>
        <v>2.3373140752100952E-2</v>
      </c>
      <c r="J11" s="8">
        <f t="shared" si="1"/>
        <v>-0.75935626817374613</v>
      </c>
      <c r="K11" s="8">
        <f t="shared" si="2"/>
        <v>-7.8493358137970759E-2</v>
      </c>
      <c r="L11" s="8"/>
      <c r="M11" s="8"/>
      <c r="N11">
        <f t="shared" si="8"/>
        <v>2013</v>
      </c>
      <c r="O11" s="24">
        <f t="shared" si="3"/>
        <v>37.7106634919</v>
      </c>
      <c r="P11" s="24">
        <f t="shared" si="4"/>
        <v>1.3267112637</v>
      </c>
      <c r="Q11" s="24">
        <f t="shared" si="5"/>
        <v>42.362553867999999</v>
      </c>
    </row>
    <row r="12" spans="1:17" ht="12.6" x14ac:dyDescent="0.25">
      <c r="A12">
        <f t="shared" si="6"/>
        <v>2014</v>
      </c>
      <c r="B12" s="1">
        <v>41588452894</v>
      </c>
      <c r="C12" s="1">
        <v>9271698913</v>
      </c>
      <c r="D12">
        <f t="shared" si="7"/>
        <v>2014</v>
      </c>
      <c r="E12" s="1">
        <v>40699086092.32</v>
      </c>
      <c r="F12" s="1">
        <v>1041786724.28</v>
      </c>
      <c r="I12" s="8">
        <f t="shared" si="0"/>
        <v>-2.1384945574840275E-2</v>
      </c>
      <c r="J12" s="8">
        <f t="shared" si="1"/>
        <v>-0.88763799018329925</v>
      </c>
      <c r="K12" s="8">
        <f t="shared" si="2"/>
        <v>-0.17930105724035406</v>
      </c>
      <c r="L12" s="8"/>
      <c r="M12" s="8"/>
      <c r="N12">
        <f t="shared" si="8"/>
        <v>2014</v>
      </c>
      <c r="O12" s="24">
        <f t="shared" si="3"/>
        <v>40.699086092320002</v>
      </c>
      <c r="P12" s="24">
        <f t="shared" si="4"/>
        <v>1.0417867242800001</v>
      </c>
      <c r="Q12" s="24">
        <f t="shared" si="5"/>
        <v>50.860151807000001</v>
      </c>
    </row>
    <row r="13" spans="1:17" ht="12.6" x14ac:dyDescent="0.25">
      <c r="A13">
        <f t="shared" si="6"/>
        <v>2015</v>
      </c>
      <c r="B13" s="1">
        <v>44302158153</v>
      </c>
      <c r="C13" s="1">
        <v>7091589968</v>
      </c>
      <c r="D13">
        <f t="shared" si="7"/>
        <v>2015</v>
      </c>
      <c r="E13" s="1">
        <v>46712130922.949997</v>
      </c>
      <c r="F13" s="1">
        <v>1390167568.79</v>
      </c>
      <c r="I13" s="8">
        <f t="shared" si="0"/>
        <v>5.4398541073936491E-2</v>
      </c>
      <c r="J13" s="8">
        <f t="shared" si="1"/>
        <v>-0.8039695505432527</v>
      </c>
      <c r="K13" s="8">
        <f t="shared" si="2"/>
        <v>-6.4043774770244477E-2</v>
      </c>
      <c r="L13" s="8"/>
      <c r="M13" s="8"/>
      <c r="N13">
        <f t="shared" si="8"/>
        <v>2015</v>
      </c>
      <c r="O13" s="24">
        <f t="shared" si="3"/>
        <v>46.712130922949996</v>
      </c>
      <c r="P13" s="24">
        <f t="shared" si="4"/>
        <v>1.3901675687899999</v>
      </c>
      <c r="Q13" s="24">
        <f t="shared" si="5"/>
        <v>51.393748121000002</v>
      </c>
    </row>
    <row r="14" spans="1:17" ht="12.6" x14ac:dyDescent="0.25">
      <c r="A14">
        <f t="shared" si="6"/>
        <v>2016</v>
      </c>
      <c r="B14" s="1">
        <v>46284059761</v>
      </c>
      <c r="C14" s="1">
        <v>8123240586</v>
      </c>
      <c r="D14">
        <f t="shared" si="7"/>
        <v>2016</v>
      </c>
      <c r="E14" s="1">
        <v>46131677376.720001</v>
      </c>
      <c r="F14" s="1">
        <v>1395385856.6500001</v>
      </c>
      <c r="I14" s="8">
        <f t="shared" si="0"/>
        <v>-3.2923296933515811E-3</v>
      </c>
      <c r="J14" s="8">
        <f t="shared" si="1"/>
        <v>-0.82822300510773028</v>
      </c>
      <c r="K14" s="8">
        <f t="shared" si="2"/>
        <v>-0.12645797659044056</v>
      </c>
      <c r="L14" s="8"/>
      <c r="M14" s="8"/>
      <c r="N14">
        <f t="shared" si="8"/>
        <v>2016</v>
      </c>
      <c r="O14" s="24">
        <f t="shared" si="3"/>
        <v>46.131677376719999</v>
      </c>
      <c r="P14" s="24">
        <f t="shared" si="4"/>
        <v>1.3953858566500001</v>
      </c>
      <c r="Q14" s="24">
        <f t="shared" si="5"/>
        <v>54.407300347000003</v>
      </c>
    </row>
    <row r="15" spans="1:17" ht="12.95" x14ac:dyDescent="0.3">
      <c r="A15">
        <f t="shared" si="6"/>
        <v>2017</v>
      </c>
      <c r="B15" s="1">
        <v>49839465592</v>
      </c>
      <c r="C15" s="1">
        <v>4855097551</v>
      </c>
      <c r="D15" t="s">
        <v>29</v>
      </c>
      <c r="E15" s="1">
        <f>E18+E14-E17</f>
        <v>48572482963.729996</v>
      </c>
      <c r="F15" s="1">
        <f>F18+F14-F17</f>
        <v>1078411005.3699999</v>
      </c>
      <c r="I15" s="23">
        <f t="shared" si="0"/>
        <v>-2.5421272343525536E-2</v>
      </c>
      <c r="J15" s="8">
        <f t="shared" si="1"/>
        <v>-0.77788067200670752</v>
      </c>
      <c r="K15" s="8">
        <f t="shared" si="2"/>
        <v>-9.2215183449097626E-2</v>
      </c>
      <c r="L15" s="8"/>
      <c r="M15" s="8"/>
      <c r="N15" t="s">
        <v>29</v>
      </c>
      <c r="O15" s="24">
        <f t="shared" si="3"/>
        <v>48.572482963729996</v>
      </c>
      <c r="P15" s="24">
        <f t="shared" si="4"/>
        <v>1.0784110053699998</v>
      </c>
      <c r="Q15" s="24">
        <f t="shared" si="5"/>
        <v>54.694563143000003</v>
      </c>
    </row>
    <row r="16" spans="1:17" ht="12.6" x14ac:dyDescent="0.25">
      <c r="B16" s="1"/>
      <c r="C16" s="1"/>
      <c r="D16" s="1"/>
      <c r="E16" s="1"/>
      <c r="F16" s="1"/>
      <c r="I16" s="14"/>
      <c r="J16" s="14"/>
    </row>
    <row r="17" spans="1:7" ht="12.6" x14ac:dyDescent="0.25">
      <c r="B17" s="1"/>
      <c r="C17" s="1"/>
      <c r="D17" s="15">
        <v>42614</v>
      </c>
      <c r="E17" s="1">
        <v>32575936835.799999</v>
      </c>
      <c r="F17" s="1">
        <v>982601185.71000004</v>
      </c>
    </row>
    <row r="18" spans="1:7" ht="12.6" x14ac:dyDescent="0.25">
      <c r="B18" s="1"/>
      <c r="C18" s="1"/>
      <c r="D18" s="15">
        <v>42979</v>
      </c>
      <c r="E18" s="1">
        <v>35016742422.809998</v>
      </c>
      <c r="F18" s="1">
        <v>665626334.42999995</v>
      </c>
      <c r="G18" s="8">
        <f>SUM(E18:F18)/SUM(E17:F17)-1</f>
        <v>6.328734387560897E-2</v>
      </c>
    </row>
    <row r="30" spans="1:7" ht="12.6" x14ac:dyDescent="0.25">
      <c r="A30" s="25" t="s">
        <v>34</v>
      </c>
    </row>
  </sheetData>
  <mergeCells count="2">
    <mergeCell ref="B1:C1"/>
    <mergeCell ref="E1:F1"/>
  </mergeCells>
  <hyperlinks>
    <hyperlink ref="A30" r:id="rId1"/>
  </hyperlinks>
  <pageMargins left="0.511811024" right="0.511811024" top="0.78740157499999996" bottom="0.78740157499999996" header="0.31496062000000002" footer="0.31496062000000002"/>
  <pageSetup paperSize="9" orientation="portrait" horizontalDpi="90" verticalDpi="90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Educação - Comparável</vt:lpstr>
      <vt:lpstr>Educação - TCMSP</vt:lpstr>
      <vt:lpstr>Saúde</vt:lpstr>
      <vt:lpstr>Caixa em 2016</vt:lpstr>
      <vt:lpstr>Receitas</vt:lpstr>
    </vt:vector>
  </TitlesOfParts>
  <Company>Banco Central do Brasil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Bianchini Abreu Paiva</dc:creator>
  <cp:lastModifiedBy>Rafael Bianchini Abreu Paiva</cp:lastModifiedBy>
  <dcterms:created xsi:type="dcterms:W3CDTF">2016-08-30T18:40:27Z</dcterms:created>
  <dcterms:modified xsi:type="dcterms:W3CDTF">2017-11-07T12:52:11Z</dcterms:modified>
</cp:coreProperties>
</file>